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A:\A_PhD_Thesis_Prep\MANUSCRIPTS\BA_paper\Manuscripts\FINAL\RawData\"/>
    </mc:Choice>
  </mc:AlternateContent>
  <xr:revisionPtr revIDLastSave="0" documentId="13_ncr:1_{DB6FC7CC-404F-4A53-AADB-2C71C68D06E8}" xr6:coauthVersionLast="47" xr6:coauthVersionMax="47" xr10:uidLastSave="{00000000-0000-0000-0000-000000000000}"/>
  <bookViews>
    <workbookView xWindow="24075" yWindow="5460" windowWidth="14670" windowHeight="8130" firstSheet="6" activeTab="7" xr2:uid="{00000000-000D-0000-FFFF-FFFF00000000}"/>
  </bookViews>
  <sheets>
    <sheet name="Figure_4_overall" sheetId="2" r:id="rId1"/>
    <sheet name="C_data" sheetId="5" r:id="rId2"/>
    <sheet name="PHA_assay" sheetId="3" r:id="rId3"/>
    <sheet name="N_assay" sheetId="6" r:id="rId4"/>
    <sheet name="Figure_5" sheetId="7" r:id="rId5"/>
    <sheet name="PHA_assay _flask_exp" sheetId="8" r:id="rId6"/>
    <sheet name="N_assay_flask_exp" sheetId="10" r:id="rId7"/>
    <sheet name="C_data_flask_exp" sheetId="9" r:id="rId8"/>
  </sheets>
  <externalReferences>
    <externalReference r:id="rId9"/>
    <externalReference r:id="rId10"/>
    <externalReference r:id="rId11"/>
  </externalReferences>
  <definedNames>
    <definedName name="QExportAvExcel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" i="10" l="1"/>
  <c r="L5" i="10"/>
  <c r="J6" i="10"/>
  <c r="L6" i="10" s="1"/>
  <c r="J7" i="10"/>
  <c r="L7" i="10"/>
  <c r="J8" i="10"/>
  <c r="L8" i="10"/>
  <c r="J9" i="10"/>
  <c r="L9" i="10"/>
  <c r="J10" i="10"/>
  <c r="L10" i="10" s="1"/>
  <c r="J11" i="10"/>
  <c r="L11" i="10"/>
  <c r="J12" i="10"/>
  <c r="L12" i="10"/>
  <c r="J13" i="10"/>
  <c r="L13" i="10"/>
  <c r="J14" i="10"/>
  <c r="L14" i="10" s="1"/>
  <c r="J15" i="10"/>
  <c r="L15" i="10"/>
  <c r="J16" i="10"/>
  <c r="L16" i="10"/>
  <c r="J17" i="10"/>
  <c r="L17" i="10"/>
  <c r="J18" i="10"/>
  <c r="L18" i="10" s="1"/>
  <c r="J19" i="10"/>
  <c r="L19" i="10"/>
  <c r="J20" i="10"/>
  <c r="L20" i="10"/>
  <c r="J21" i="10"/>
  <c r="L21" i="10"/>
  <c r="J22" i="10"/>
  <c r="L22" i="10" s="1"/>
  <c r="J23" i="10"/>
  <c r="L23" i="10"/>
  <c r="J24" i="10"/>
  <c r="L24" i="10"/>
  <c r="J25" i="10"/>
  <c r="L25" i="10"/>
  <c r="J26" i="10"/>
  <c r="L26" i="10" s="1"/>
  <c r="J27" i="10"/>
  <c r="L27" i="10"/>
  <c r="J28" i="10"/>
  <c r="L28" i="10"/>
  <c r="J29" i="10"/>
  <c r="L29" i="10"/>
  <c r="C42" i="10"/>
  <c r="C44" i="10"/>
  <c r="C45" i="10"/>
  <c r="C46" i="10"/>
  <c r="C47" i="10" s="1"/>
  <c r="B11" i="9"/>
  <c r="B12" i="9"/>
  <c r="D31" i="9"/>
  <c r="E31" i="9" s="1"/>
  <c r="F31" i="9" s="1"/>
  <c r="G31" i="9" s="1"/>
  <c r="D32" i="9"/>
  <c r="E32" i="9" s="1"/>
  <c r="F32" i="9" s="1"/>
  <c r="G32" i="9" s="1"/>
  <c r="D33" i="9"/>
  <c r="E33" i="9" s="1"/>
  <c r="F33" i="9" s="1"/>
  <c r="G33" i="9" s="1"/>
  <c r="D34" i="9"/>
  <c r="E34" i="9" s="1"/>
  <c r="F34" i="9" s="1"/>
  <c r="G34" i="9" s="1"/>
  <c r="D35" i="9"/>
  <c r="E35" i="9" s="1"/>
  <c r="F35" i="9" s="1"/>
  <c r="G35" i="9" s="1"/>
  <c r="D36" i="9"/>
  <c r="E36" i="9" s="1"/>
  <c r="F36" i="9" s="1"/>
  <c r="G36" i="9" s="1"/>
  <c r="D37" i="9"/>
  <c r="E37" i="9" s="1"/>
  <c r="F37" i="9" s="1"/>
  <c r="G37" i="9" s="1"/>
  <c r="D38" i="9"/>
  <c r="E38" i="9" s="1"/>
  <c r="F38" i="9" s="1"/>
  <c r="G38" i="9" s="1"/>
  <c r="D39" i="9"/>
  <c r="E39" i="9" s="1"/>
  <c r="F39" i="9" s="1"/>
  <c r="G39" i="9" s="1"/>
  <c r="D40" i="9"/>
  <c r="E40" i="9" s="1"/>
  <c r="F40" i="9" s="1"/>
  <c r="G40" i="9" s="1"/>
  <c r="D41" i="9"/>
  <c r="E41" i="9" s="1"/>
  <c r="F41" i="9" s="1"/>
  <c r="G41" i="9" s="1"/>
  <c r="D42" i="9"/>
  <c r="E42" i="9" s="1"/>
  <c r="F42" i="9" s="1"/>
  <c r="G42" i="9" s="1"/>
  <c r="D43" i="9"/>
  <c r="E43" i="9" s="1"/>
  <c r="F43" i="9" s="1"/>
  <c r="G43" i="9" s="1"/>
  <c r="D44" i="9"/>
  <c r="E44" i="9" s="1"/>
  <c r="F44" i="9" s="1"/>
  <c r="G44" i="9" s="1"/>
  <c r="D45" i="9"/>
  <c r="E45" i="9" s="1"/>
  <c r="F45" i="9" s="1"/>
  <c r="G45" i="9" s="1"/>
  <c r="D46" i="9"/>
  <c r="E46" i="9" s="1"/>
  <c r="F46" i="9" s="1"/>
  <c r="G46" i="9" s="1"/>
  <c r="D47" i="9"/>
  <c r="E47" i="9" s="1"/>
  <c r="F47" i="9" s="1"/>
  <c r="G47" i="9" s="1"/>
  <c r="D48" i="9"/>
  <c r="E48" i="9" s="1"/>
  <c r="F48" i="9" s="1"/>
  <c r="G48" i="9" s="1"/>
  <c r="D49" i="9"/>
  <c r="E49" i="9" s="1"/>
  <c r="F49" i="9" s="1"/>
  <c r="G49" i="9" s="1"/>
  <c r="D50" i="9"/>
  <c r="E50" i="9" s="1"/>
  <c r="F50" i="9" s="1"/>
  <c r="G50" i="9" s="1"/>
  <c r="D51" i="9"/>
  <c r="E51" i="9" s="1"/>
  <c r="F51" i="9" s="1"/>
  <c r="G51" i="9" s="1"/>
  <c r="D52" i="9"/>
  <c r="E52" i="9" s="1"/>
  <c r="F52" i="9" s="1"/>
  <c r="G52" i="9" s="1"/>
  <c r="D53" i="9"/>
  <c r="E53" i="9" s="1"/>
  <c r="F53" i="9" s="1"/>
  <c r="G53" i="9" s="1"/>
  <c r="D54" i="9"/>
  <c r="E54" i="9" s="1"/>
  <c r="F54" i="9" s="1"/>
  <c r="G54" i="9" s="1"/>
  <c r="D55" i="9"/>
  <c r="E55" i="9" s="1"/>
  <c r="F55" i="9" s="1"/>
  <c r="G55" i="9" s="1"/>
  <c r="D56" i="9"/>
  <c r="E56" i="9" s="1"/>
  <c r="F56" i="9" s="1"/>
  <c r="G56" i="9" s="1"/>
  <c r="D57" i="9"/>
  <c r="E57" i="9" s="1"/>
  <c r="F57" i="9" s="1"/>
  <c r="G57" i="9" s="1"/>
  <c r="N17" i="8"/>
  <c r="O17" i="8"/>
  <c r="P17" i="8"/>
  <c r="Q17" i="8"/>
  <c r="W17" i="8" s="1"/>
  <c r="R17" i="8"/>
  <c r="S17" i="8"/>
  <c r="T17" i="8"/>
  <c r="AD17" i="8" s="1"/>
  <c r="U17" i="8"/>
  <c r="AE17" i="8" s="1"/>
  <c r="V17" i="8"/>
  <c r="N18" i="8"/>
  <c r="O18" i="8"/>
  <c r="P18" i="8"/>
  <c r="Q18" i="8"/>
  <c r="R18" i="8"/>
  <c r="S18" i="8"/>
  <c r="T18" i="8"/>
  <c r="U18" i="8"/>
  <c r="V18" i="8"/>
  <c r="N19" i="8"/>
  <c r="O19" i="8"/>
  <c r="P19" i="8"/>
  <c r="Q19" i="8"/>
  <c r="R19" i="8"/>
  <c r="S19" i="8"/>
  <c r="W19" i="8" s="1"/>
  <c r="T19" i="8"/>
  <c r="U19" i="8"/>
  <c r="V19" i="8"/>
  <c r="N20" i="8"/>
  <c r="O20" i="8"/>
  <c r="W20" i="8" s="1"/>
  <c r="P20" i="8"/>
  <c r="Z20" i="8" s="1"/>
  <c r="Q20" i="8"/>
  <c r="AA20" i="8" s="1"/>
  <c r="R20" i="8"/>
  <c r="S20" i="8"/>
  <c r="T20" i="8"/>
  <c r="U20" i="8"/>
  <c r="V20" i="8"/>
  <c r="N21" i="8"/>
  <c r="O21" i="8"/>
  <c r="Y21" i="8" s="1"/>
  <c r="P21" i="8"/>
  <c r="Q21" i="8"/>
  <c r="R21" i="8"/>
  <c r="S21" i="8"/>
  <c r="W21" i="8" s="1"/>
  <c r="T21" i="8"/>
  <c r="AD21" i="8" s="1"/>
  <c r="U21" i="8"/>
  <c r="AE21" i="8" s="1"/>
  <c r="V21" i="8"/>
  <c r="N22" i="8"/>
  <c r="O22" i="8"/>
  <c r="W22" i="8" s="1"/>
  <c r="P22" i="8"/>
  <c r="Z22" i="8" s="1"/>
  <c r="Q22" i="8"/>
  <c r="R22" i="8"/>
  <c r="S22" i="8"/>
  <c r="T22" i="8"/>
  <c r="U22" i="8"/>
  <c r="V22" i="8"/>
  <c r="N23" i="8"/>
  <c r="O23" i="8"/>
  <c r="Y23" i="8" s="1"/>
  <c r="P23" i="8"/>
  <c r="Q23" i="8"/>
  <c r="R23" i="8"/>
  <c r="S23" i="8"/>
  <c r="W23" i="8" s="1"/>
  <c r="T23" i="8"/>
  <c r="U23" i="8"/>
  <c r="V23" i="8"/>
  <c r="N24" i="8"/>
  <c r="O24" i="8"/>
  <c r="P24" i="8"/>
  <c r="Q24" i="8"/>
  <c r="R24" i="8"/>
  <c r="S24" i="8"/>
  <c r="T24" i="8"/>
  <c r="U24" i="8"/>
  <c r="V24" i="8"/>
  <c r="N25" i="8"/>
  <c r="O25" i="8"/>
  <c r="P25" i="8"/>
  <c r="Q25" i="8"/>
  <c r="R25" i="8"/>
  <c r="S25" i="8"/>
  <c r="W25" i="8" s="1"/>
  <c r="T25" i="8"/>
  <c r="AD25" i="8" s="1"/>
  <c r="U25" i="8"/>
  <c r="AE25" i="8" s="1"/>
  <c r="V25" i="8"/>
  <c r="N26" i="8"/>
  <c r="O26" i="8"/>
  <c r="P26" i="8"/>
  <c r="Q26" i="8"/>
  <c r="R26" i="8"/>
  <c r="S26" i="8"/>
  <c r="T26" i="8"/>
  <c r="U26" i="8"/>
  <c r="V26" i="8"/>
  <c r="N27" i="8"/>
  <c r="O27" i="8"/>
  <c r="P27" i="8"/>
  <c r="Q27" i="8"/>
  <c r="R27" i="8"/>
  <c r="S27" i="8"/>
  <c r="W27" i="8" s="1"/>
  <c r="T27" i="8"/>
  <c r="U27" i="8"/>
  <c r="V27" i="8"/>
  <c r="N28" i="8"/>
  <c r="O28" i="8"/>
  <c r="W28" i="8" s="1"/>
  <c r="P28" i="8"/>
  <c r="Z28" i="8" s="1"/>
  <c r="Q28" i="8"/>
  <c r="AA28" i="8" s="1"/>
  <c r="R28" i="8"/>
  <c r="AB28" i="8" s="1"/>
  <c r="S28" i="8"/>
  <c r="T28" i="8"/>
  <c r="U28" i="8"/>
  <c r="V28" i="8"/>
  <c r="N29" i="8"/>
  <c r="X29" i="8" s="1"/>
  <c r="O29" i="8"/>
  <c r="Y29" i="8" s="1"/>
  <c r="P29" i="8"/>
  <c r="Q29" i="8"/>
  <c r="R29" i="8"/>
  <c r="S29" i="8"/>
  <c r="W29" i="8" s="1"/>
  <c r="T29" i="8"/>
  <c r="AD29" i="8" s="1"/>
  <c r="U29" i="8"/>
  <c r="AE29" i="8" s="1"/>
  <c r="V29" i="8"/>
  <c r="AF29" i="8" s="1"/>
  <c r="N30" i="8"/>
  <c r="O30" i="8"/>
  <c r="W30" i="8" s="1"/>
  <c r="P30" i="8"/>
  <c r="Z30" i="8" s="1"/>
  <c r="Q30" i="8"/>
  <c r="R30" i="8"/>
  <c r="S30" i="8"/>
  <c r="T30" i="8"/>
  <c r="U30" i="8"/>
  <c r="V30" i="8"/>
  <c r="N31" i="8"/>
  <c r="X31" i="8" s="1"/>
  <c r="O31" i="8"/>
  <c r="Y31" i="8" s="1"/>
  <c r="P31" i="8"/>
  <c r="Q31" i="8"/>
  <c r="R31" i="8"/>
  <c r="S31" i="8"/>
  <c r="W31" i="8" s="1"/>
  <c r="T31" i="8"/>
  <c r="U31" i="8"/>
  <c r="AE31" i="8" s="1"/>
  <c r="V31" i="8"/>
  <c r="AF31" i="8" s="1"/>
  <c r="N32" i="8"/>
  <c r="O32" i="8"/>
  <c r="W32" i="8" s="1"/>
  <c r="P32" i="8"/>
  <c r="Z32" i="8" s="1"/>
  <c r="Q32" i="8"/>
  <c r="AA32" i="8" s="1"/>
  <c r="R32" i="8"/>
  <c r="AB32" i="8" s="1"/>
  <c r="S32" i="8"/>
  <c r="AC32" i="8" s="1"/>
  <c r="T32" i="8"/>
  <c r="U32" i="8"/>
  <c r="V32" i="8"/>
  <c r="N33" i="8"/>
  <c r="O33" i="8"/>
  <c r="P33" i="8"/>
  <c r="Q33" i="8"/>
  <c r="R33" i="8"/>
  <c r="S33" i="8"/>
  <c r="W33" i="8" s="1"/>
  <c r="T33" i="8"/>
  <c r="AD33" i="8" s="1"/>
  <c r="U33" i="8"/>
  <c r="AE33" i="8" s="1"/>
  <c r="V33" i="8"/>
  <c r="N34" i="8"/>
  <c r="O34" i="8"/>
  <c r="W34" i="8" s="1"/>
  <c r="P34" i="8"/>
  <c r="Z34" i="8" s="1"/>
  <c r="Q34" i="8"/>
  <c r="R34" i="8"/>
  <c r="AB34" i="8" s="1"/>
  <c r="S34" i="8"/>
  <c r="AC34" i="8" s="1"/>
  <c r="T34" i="8"/>
  <c r="U34" i="8"/>
  <c r="V34" i="8"/>
  <c r="T5" i="7"/>
  <c r="W5" i="7"/>
  <c r="X5" i="7"/>
  <c r="Y5" i="7"/>
  <c r="T6" i="7"/>
  <c r="W6" i="7"/>
  <c r="X6" i="7"/>
  <c r="Y6" i="7"/>
  <c r="T7" i="7"/>
  <c r="W7" i="7"/>
  <c r="X7" i="7"/>
  <c r="Y7" i="7"/>
  <c r="T8" i="7"/>
  <c r="W8" i="7"/>
  <c r="X8" i="7"/>
  <c r="Y8" i="7"/>
  <c r="C9" i="7"/>
  <c r="G9" i="7"/>
  <c r="T9" i="7"/>
  <c r="W9" i="7"/>
  <c r="X9" i="7"/>
  <c r="Y9" i="7"/>
  <c r="C10" i="7"/>
  <c r="G10" i="7"/>
  <c r="T10" i="7"/>
  <c r="W10" i="7"/>
  <c r="X10" i="7"/>
  <c r="Y10" i="7"/>
  <c r="T11" i="7"/>
  <c r="W11" i="7"/>
  <c r="X11" i="7"/>
  <c r="Y11" i="7"/>
  <c r="T12" i="7"/>
  <c r="W12" i="7"/>
  <c r="X12" i="7"/>
  <c r="Y12" i="7"/>
  <c r="T13" i="7"/>
  <c r="W13" i="7"/>
  <c r="X13" i="7"/>
  <c r="Y13" i="7"/>
  <c r="T14" i="7"/>
  <c r="W14" i="7"/>
  <c r="X14" i="7"/>
  <c r="Y14" i="7"/>
  <c r="T15" i="7"/>
  <c r="W15" i="7"/>
  <c r="X15" i="7"/>
  <c r="Y15" i="7"/>
  <c r="T16" i="7"/>
  <c r="W16" i="7"/>
  <c r="X16" i="7"/>
  <c r="Y16" i="7"/>
  <c r="T17" i="7"/>
  <c r="W17" i="7"/>
  <c r="X17" i="7"/>
  <c r="Y17" i="7"/>
  <c r="T18" i="7"/>
  <c r="W18" i="7"/>
  <c r="X18" i="7"/>
  <c r="Y18" i="7"/>
  <c r="T19" i="7"/>
  <c r="W19" i="7"/>
  <c r="X19" i="7"/>
  <c r="Y19" i="7"/>
  <c r="T20" i="7"/>
  <c r="W20" i="7"/>
  <c r="X20" i="7"/>
  <c r="Y20" i="7"/>
  <c r="T21" i="7"/>
  <c r="W21" i="7"/>
  <c r="X21" i="7"/>
  <c r="Y21" i="7"/>
  <c r="T22" i="7"/>
  <c r="W22" i="7"/>
  <c r="X22" i="7"/>
  <c r="Y22" i="7"/>
  <c r="T23" i="7"/>
  <c r="W23" i="7"/>
  <c r="X23" i="7"/>
  <c r="Y23" i="7"/>
  <c r="T24" i="7"/>
  <c r="W24" i="7"/>
  <c r="X24" i="7"/>
  <c r="Y24" i="7"/>
  <c r="T25" i="7"/>
  <c r="W25" i="7"/>
  <c r="X25" i="7"/>
  <c r="Y25" i="7"/>
  <c r="T26" i="7"/>
  <c r="W26" i="7"/>
  <c r="X26" i="7"/>
  <c r="Y26" i="7"/>
  <c r="T27" i="7"/>
  <c r="W27" i="7"/>
  <c r="X27" i="7"/>
  <c r="Y27" i="7"/>
  <c r="T28" i="7"/>
  <c r="W28" i="7"/>
  <c r="X28" i="7"/>
  <c r="Y28" i="7"/>
  <c r="T29" i="7"/>
  <c r="W29" i="7"/>
  <c r="X29" i="7"/>
  <c r="Y29" i="7"/>
  <c r="E33" i="7"/>
  <c r="G33" i="7"/>
  <c r="J33" i="7"/>
  <c r="E34" i="7"/>
  <c r="G34" i="7"/>
  <c r="J34" i="7"/>
  <c r="E35" i="7"/>
  <c r="J35" i="7" s="1"/>
  <c r="G35" i="7"/>
  <c r="E36" i="7"/>
  <c r="G36" i="7" s="1"/>
  <c r="E37" i="7"/>
  <c r="G37" i="7"/>
  <c r="J37" i="7"/>
  <c r="E38" i="7"/>
  <c r="G38" i="7" s="1"/>
  <c r="E39" i="7"/>
  <c r="J39" i="7" s="1"/>
  <c r="G39" i="7"/>
  <c r="E40" i="7"/>
  <c r="G40" i="7"/>
  <c r="J40" i="7"/>
  <c r="E41" i="7"/>
  <c r="G41" i="7" s="1"/>
  <c r="E42" i="7"/>
  <c r="J42" i="7" s="1"/>
  <c r="E43" i="7"/>
  <c r="G43" i="7"/>
  <c r="J43" i="7"/>
  <c r="E44" i="7"/>
  <c r="G44" i="7" s="1"/>
  <c r="E45" i="7"/>
  <c r="G45" i="7" s="1"/>
  <c r="J45" i="7"/>
  <c r="E46" i="7"/>
  <c r="J46" i="7" s="1"/>
  <c r="G46" i="7"/>
  <c r="E47" i="7"/>
  <c r="J47" i="7" s="1"/>
  <c r="G47" i="7"/>
  <c r="E48" i="7"/>
  <c r="G48" i="7"/>
  <c r="J48" i="7"/>
  <c r="E49" i="7"/>
  <c r="G49" i="7" s="1"/>
  <c r="E50" i="7"/>
  <c r="G50" i="7" s="1"/>
  <c r="E51" i="7"/>
  <c r="G51" i="7"/>
  <c r="J51" i="7"/>
  <c r="E52" i="7"/>
  <c r="G52" i="7"/>
  <c r="J52" i="7"/>
  <c r="E53" i="7"/>
  <c r="G53" i="7" s="1"/>
  <c r="J53" i="7"/>
  <c r="E54" i="7"/>
  <c r="J54" i="7" s="1"/>
  <c r="G54" i="7"/>
  <c r="E55" i="7"/>
  <c r="G55" i="7" s="1"/>
  <c r="E56" i="7"/>
  <c r="G56" i="7"/>
  <c r="J56" i="7"/>
  <c r="E57" i="7"/>
  <c r="G57" i="7" s="1"/>
  <c r="C48" i="10" l="1"/>
  <c r="C49" i="10" s="1"/>
  <c r="C50" i="10" s="1"/>
  <c r="C51" i="10" s="1"/>
  <c r="C52" i="10" s="1"/>
  <c r="C53" i="10" s="1"/>
  <c r="O11" i="9" a="1"/>
  <c r="O11" i="9" s="1"/>
  <c r="B13" i="9"/>
  <c r="B14" i="9" s="1"/>
  <c r="B15" i="9" s="1"/>
  <c r="B16" i="9" s="1"/>
  <c r="B17" i="9" s="1"/>
  <c r="B18" i="9" s="1"/>
  <c r="B19" i="9" s="1"/>
  <c r="X19" i="8"/>
  <c r="AF19" i="8"/>
  <c r="AG19" i="8"/>
  <c r="Z19" i="8"/>
  <c r="AA19" i="8"/>
  <c r="AB19" i="8"/>
  <c r="AC19" i="8"/>
  <c r="AA25" i="8"/>
  <c r="AC25" i="8"/>
  <c r="X25" i="8"/>
  <c r="AB25" i="8"/>
  <c r="AG25" i="8"/>
  <c r="Z25" i="8"/>
  <c r="AE23" i="8"/>
  <c r="AA34" i="8"/>
  <c r="AD31" i="8"/>
  <c r="AE28" i="8"/>
  <c r="AF28" i="8"/>
  <c r="Y28" i="8"/>
  <c r="X28" i="8"/>
  <c r="AG28" i="8"/>
  <c r="AD28" i="8"/>
  <c r="AD23" i="8"/>
  <c r="AG20" i="8"/>
  <c r="Y20" i="8"/>
  <c r="AB20" i="8"/>
  <c r="AF20" i="8"/>
  <c r="X20" i="8"/>
  <c r="AD20" i="8"/>
  <c r="AE20" i="8"/>
  <c r="Y19" i="8"/>
  <c r="Z18" i="8"/>
  <c r="AC17" i="8"/>
  <c r="X17" i="8"/>
  <c r="AF17" i="8"/>
  <c r="AB17" i="8"/>
  <c r="Y17" i="8"/>
  <c r="AG17" i="8"/>
  <c r="AA17" i="8"/>
  <c r="Z17" i="8"/>
  <c r="AF30" i="8"/>
  <c r="Y30" i="8"/>
  <c r="X30" i="8"/>
  <c r="AE30" i="8"/>
  <c r="AD30" i="8"/>
  <c r="AG30" i="8"/>
  <c r="AA33" i="8"/>
  <c r="AB33" i="8"/>
  <c r="AC33" i="8"/>
  <c r="AG33" i="8"/>
  <c r="Z33" i="8"/>
  <c r="AF27" i="8"/>
  <c r="X27" i="8"/>
  <c r="AC22" i="8"/>
  <c r="AA23" i="8"/>
  <c r="X23" i="8"/>
  <c r="AF23" i="8"/>
  <c r="AG23" i="8"/>
  <c r="Z23" i="8"/>
  <c r="AB23" i="8"/>
  <c r="AC23" i="8"/>
  <c r="X34" i="8"/>
  <c r="AG34" i="8"/>
  <c r="AD34" i="8"/>
  <c r="AE34" i="8"/>
  <c r="AF34" i="8"/>
  <c r="Y34" i="8"/>
  <c r="Y33" i="8"/>
  <c r="AB30" i="8"/>
  <c r="AA29" i="8"/>
  <c r="AC29" i="8"/>
  <c r="AB29" i="8"/>
  <c r="AG29" i="8"/>
  <c r="Z29" i="8"/>
  <c r="AE27" i="8"/>
  <c r="Y25" i="8"/>
  <c r="AA21" i="8"/>
  <c r="X21" i="8"/>
  <c r="AF21" i="8"/>
  <c r="AG21" i="8"/>
  <c r="Z21" i="8"/>
  <c r="AB21" i="8"/>
  <c r="AC21" i="8"/>
  <c r="AE19" i="8"/>
  <c r="AA27" i="8"/>
  <c r="AG27" i="8"/>
  <c r="AB27" i="8"/>
  <c r="AC27" i="8"/>
  <c r="Z27" i="8"/>
  <c r="AG22" i="8"/>
  <c r="AB22" i="8"/>
  <c r="AE22" i="8"/>
  <c r="AF22" i="8"/>
  <c r="Y22" i="8"/>
  <c r="AD22" i="8"/>
  <c r="X22" i="8"/>
  <c r="AA31" i="8"/>
  <c r="AB31" i="8"/>
  <c r="AG31" i="8"/>
  <c r="AC31" i="8"/>
  <c r="Z31" i="8"/>
  <c r="Y27" i="8"/>
  <c r="AC30" i="8"/>
  <c r="AF33" i="8"/>
  <c r="X33" i="8"/>
  <c r="AF32" i="8"/>
  <c r="Y32" i="8"/>
  <c r="AE32" i="8"/>
  <c r="AD32" i="8"/>
  <c r="X32" i="8"/>
  <c r="AG32" i="8"/>
  <c r="AA30" i="8"/>
  <c r="AC28" i="8"/>
  <c r="AD27" i="8"/>
  <c r="AF25" i="8"/>
  <c r="AA22" i="8"/>
  <c r="AC20" i="8"/>
  <c r="AD19" i="8"/>
  <c r="W26" i="8"/>
  <c r="Z26" i="8" s="1"/>
  <c r="W24" i="8"/>
  <c r="AC24" i="8" s="1"/>
  <c r="W18" i="8"/>
  <c r="AA18" i="8" s="1"/>
  <c r="J50" i="7"/>
  <c r="J55" i="7"/>
  <c r="J36" i="7"/>
  <c r="J44" i="7"/>
  <c r="J41" i="7"/>
  <c r="J57" i="7"/>
  <c r="J49" i="7"/>
  <c r="J38" i="7"/>
  <c r="Q47" i="10" l="1" a="1"/>
  <c r="Q47" i="10" s="1"/>
  <c r="Z24" i="8"/>
  <c r="AA24" i="8"/>
  <c r="AE26" i="8"/>
  <c r="X26" i="8"/>
  <c r="AG26" i="8"/>
  <c r="AF26" i="8"/>
  <c r="Y26" i="8"/>
  <c r="AD26" i="8"/>
  <c r="X18" i="8"/>
  <c r="AE18" i="8"/>
  <c r="AG18" i="8"/>
  <c r="AB18" i="8"/>
  <c r="Y18" i="8"/>
  <c r="AF18" i="8"/>
  <c r="AD18" i="8"/>
  <c r="AA26" i="8"/>
  <c r="AB26" i="8"/>
  <c r="AC26" i="8"/>
  <c r="Y24" i="8"/>
  <c r="AB24" i="8"/>
  <c r="X24" i="8"/>
  <c r="AE24" i="8"/>
  <c r="AF24" i="8"/>
  <c r="AG24" i="8"/>
  <c r="AD24" i="8"/>
  <c r="AC18" i="8"/>
  <c r="E42" i="5" l="1"/>
  <c r="E43" i="5"/>
  <c r="E44" i="5"/>
  <c r="E45" i="5"/>
  <c r="E46" i="5"/>
  <c r="E41" i="5"/>
  <c r="E40" i="5"/>
  <c r="E39" i="5"/>
  <c r="E38" i="5"/>
  <c r="E37" i="5"/>
  <c r="E36" i="5"/>
  <c r="E35" i="5"/>
  <c r="E34" i="5"/>
  <c r="E33" i="5"/>
  <c r="E32" i="5"/>
  <c r="E31" i="5"/>
  <c r="E30" i="5"/>
  <c r="E29" i="5"/>
  <c r="E28" i="5"/>
  <c r="E27" i="5"/>
  <c r="E26" i="5"/>
  <c r="E25" i="5"/>
  <c r="E24" i="5"/>
  <c r="E23" i="5"/>
  <c r="E22" i="5"/>
  <c r="E21" i="5"/>
  <c r="E20" i="5"/>
  <c r="E19" i="5"/>
  <c r="E18" i="5"/>
  <c r="E17" i="5"/>
  <c r="E16" i="5"/>
  <c r="E15" i="5"/>
  <c r="E14" i="5"/>
  <c r="E13" i="5"/>
  <c r="E12" i="5"/>
  <c r="E11" i="5"/>
  <c r="E10" i="5"/>
  <c r="E9" i="5"/>
  <c r="E8" i="5"/>
  <c r="E7" i="5"/>
  <c r="E6" i="5"/>
  <c r="E5" i="5"/>
  <c r="AC13" i="5"/>
  <c r="AC14" i="5" s="1"/>
  <c r="AP13" i="5" l="1" a="1"/>
  <c r="AP13" i="5" s="1"/>
  <c r="AC15" i="5"/>
  <c r="AC16" i="5" s="1"/>
  <c r="AC17" i="5" s="1"/>
  <c r="AC18" i="5" s="1"/>
  <c r="AC19" i="5" s="1"/>
  <c r="AC20" i="5" s="1"/>
  <c r="AC21" i="5" s="1"/>
  <c r="L13" i="5" l="1"/>
  <c r="L14" i="5" s="1"/>
  <c r="L15" i="5" l="1"/>
  <c r="L16" i="5" l="1"/>
  <c r="L17" i="5" s="1"/>
  <c r="L18" i="5" s="1"/>
  <c r="L19" i="5" s="1"/>
  <c r="L20" i="5" s="1"/>
  <c r="L21" i="5" s="1"/>
  <c r="Y13" i="5" a="1"/>
  <c r="Y13" i="5" s="1"/>
  <c r="B81" i="6"/>
  <c r="B82" i="6" s="1"/>
  <c r="B83" i="6" s="1"/>
  <c r="B84" i="6" s="1"/>
  <c r="B85" i="6" s="1"/>
  <c r="B86" i="6" s="1"/>
  <c r="B87" i="6" s="1"/>
  <c r="B88" i="6" s="1"/>
  <c r="C80" i="6"/>
  <c r="C81" i="6" s="1"/>
  <c r="D79" i="6"/>
  <c r="B61" i="6"/>
  <c r="B62" i="6" s="1"/>
  <c r="B63" i="6" s="1"/>
  <c r="B64" i="6" s="1"/>
  <c r="B65" i="6" s="1"/>
  <c r="B66" i="6" s="1"/>
  <c r="B67" i="6" s="1"/>
  <c r="C60" i="6"/>
  <c r="D60" i="6" s="1"/>
  <c r="D59" i="6"/>
  <c r="D58" i="6"/>
  <c r="C58" i="6"/>
  <c r="N19" i="6"/>
  <c r="O19" i="6" s="1"/>
  <c r="O18" i="6"/>
  <c r="N18" i="6"/>
  <c r="N17" i="6"/>
  <c r="O17" i="6" s="1"/>
  <c r="N16" i="6"/>
  <c r="O16" i="6" s="1"/>
  <c r="N15" i="6"/>
  <c r="O15" i="6" s="1"/>
  <c r="O14" i="6"/>
  <c r="N14" i="6"/>
  <c r="N13" i="6"/>
  <c r="O13" i="6" s="1"/>
  <c r="N12" i="6"/>
  <c r="O12" i="6" s="1"/>
  <c r="I11" i="6"/>
  <c r="I12" i="6"/>
  <c r="I13" i="6"/>
  <c r="I14" i="6"/>
  <c r="I15" i="6"/>
  <c r="I16" i="6"/>
  <c r="I17" i="6"/>
  <c r="I18" i="6"/>
  <c r="I19" i="6"/>
  <c r="I20" i="6"/>
  <c r="I21" i="6"/>
  <c r="I22" i="6"/>
  <c r="I23" i="6"/>
  <c r="I24" i="6"/>
  <c r="I25" i="6"/>
  <c r="I26" i="6"/>
  <c r="I27" i="6"/>
  <c r="I28" i="6"/>
  <c r="I29" i="6"/>
  <c r="I30" i="6"/>
  <c r="I31" i="6"/>
  <c r="I32" i="6"/>
  <c r="I33" i="6"/>
  <c r="I34" i="6"/>
  <c r="I35" i="6"/>
  <c r="I36" i="6"/>
  <c r="I37" i="6"/>
  <c r="I38" i="6"/>
  <c r="I39" i="6"/>
  <c r="I40" i="6"/>
  <c r="I41" i="6"/>
  <c r="I42" i="6"/>
  <c r="I43" i="6"/>
  <c r="I44" i="6"/>
  <c r="I45" i="6"/>
  <c r="I10" i="6"/>
  <c r="G45" i="6"/>
  <c r="G44" i="6"/>
  <c r="G43" i="6"/>
  <c r="G42" i="6"/>
  <c r="G41" i="6"/>
  <c r="G40" i="6"/>
  <c r="G39" i="6"/>
  <c r="G38" i="6"/>
  <c r="G37" i="6"/>
  <c r="G36" i="6"/>
  <c r="G35" i="6"/>
  <c r="G34" i="6"/>
  <c r="G33" i="6"/>
  <c r="G32" i="6"/>
  <c r="G31" i="6"/>
  <c r="G30" i="6"/>
  <c r="G29" i="6"/>
  <c r="G28" i="6"/>
  <c r="G27" i="6"/>
  <c r="G26" i="6"/>
  <c r="G25" i="6"/>
  <c r="G24" i="6"/>
  <c r="G23" i="6"/>
  <c r="G22" i="6"/>
  <c r="G21" i="6"/>
  <c r="G20" i="6"/>
  <c r="G19" i="6"/>
  <c r="G18" i="6"/>
  <c r="G17" i="6"/>
  <c r="G16" i="6"/>
  <c r="G15" i="6"/>
  <c r="G14" i="6"/>
  <c r="G13" i="6"/>
  <c r="G12" i="6"/>
  <c r="G11" i="6"/>
  <c r="G10" i="6"/>
  <c r="C82" i="6" l="1"/>
  <c r="D81" i="6"/>
  <c r="D80" i="6"/>
  <c r="C62" i="6"/>
  <c r="D62" i="6" s="1"/>
  <c r="C61" i="6"/>
  <c r="D61" i="6" s="1"/>
  <c r="C83" i="6" l="1"/>
  <c r="D82" i="6"/>
  <c r="C63" i="6"/>
  <c r="D63" i="6" s="1"/>
  <c r="T16" i="2"/>
  <c r="T17" i="2"/>
  <c r="T18" i="2"/>
  <c r="T19" i="2"/>
  <c r="T20" i="2"/>
  <c r="T21" i="2"/>
  <c r="T22" i="2"/>
  <c r="Q23" i="2"/>
  <c r="R23" i="2" s="1"/>
  <c r="T23" i="2" s="1"/>
  <c r="V23" i="2"/>
  <c r="X23" i="2" s="1"/>
  <c r="Q24" i="2"/>
  <c r="R24" i="2" s="1"/>
  <c r="T24" i="2" s="1"/>
  <c r="V24" i="2"/>
  <c r="X24" i="2" s="1"/>
  <c r="Q25" i="2"/>
  <c r="R25" i="2" s="1"/>
  <c r="T25" i="2" s="1"/>
  <c r="V25" i="2"/>
  <c r="X25" i="2"/>
  <c r="Q26" i="2"/>
  <c r="R26" i="2"/>
  <c r="T26" i="2" s="1"/>
  <c r="V26" i="2"/>
  <c r="X26" i="2" s="1"/>
  <c r="Q27" i="2"/>
  <c r="R27" i="2" s="1"/>
  <c r="T27" i="2" s="1"/>
  <c r="V27" i="2"/>
  <c r="X27" i="2"/>
  <c r="Q28" i="2"/>
  <c r="R28" i="2" s="1"/>
  <c r="T28" i="2" s="1"/>
  <c r="V28" i="2"/>
  <c r="X28" i="2"/>
  <c r="Q29" i="2"/>
  <c r="R29" i="2" s="1"/>
  <c r="T29" i="2" s="1"/>
  <c r="V29" i="2"/>
  <c r="X29" i="2"/>
  <c r="Q30" i="2"/>
  <c r="R30" i="2" s="1"/>
  <c r="T30" i="2" s="1"/>
  <c r="V30" i="2"/>
  <c r="X30" i="2" s="1"/>
  <c r="Q31" i="2"/>
  <c r="R31" i="2" s="1"/>
  <c r="T31" i="2" s="1"/>
  <c r="V31" i="2"/>
  <c r="X31" i="2" s="1"/>
  <c r="Q32" i="2"/>
  <c r="R32" i="2"/>
  <c r="T32" i="2" s="1"/>
  <c r="V32" i="2"/>
  <c r="X32" i="2" s="1"/>
  <c r="Q33" i="2"/>
  <c r="R33" i="2" s="1"/>
  <c r="T33" i="2" s="1"/>
  <c r="V33" i="2"/>
  <c r="X33" i="2"/>
  <c r="Q34" i="2"/>
  <c r="R34" i="2"/>
  <c r="T34" i="2"/>
  <c r="V34" i="2"/>
  <c r="X34" i="2" s="1"/>
  <c r="Q35" i="2"/>
  <c r="R35" i="2" s="1"/>
  <c r="T35" i="2" s="1"/>
  <c r="V35" i="2"/>
  <c r="X35" i="2"/>
  <c r="Q36" i="2"/>
  <c r="R36" i="2" s="1"/>
  <c r="T36" i="2" s="1"/>
  <c r="V36" i="2"/>
  <c r="X36" i="2" s="1"/>
  <c r="Q37" i="2"/>
  <c r="R37" i="2" s="1"/>
  <c r="T37" i="2" s="1"/>
  <c r="V37" i="2"/>
  <c r="X37" i="2"/>
  <c r="Q38" i="2"/>
  <c r="R38" i="2" s="1"/>
  <c r="T38" i="2" s="1"/>
  <c r="V38" i="2"/>
  <c r="X38" i="2" s="1"/>
  <c r="Q39" i="2"/>
  <c r="R39" i="2" s="1"/>
  <c r="T39" i="2" s="1"/>
  <c r="V39" i="2"/>
  <c r="X39" i="2" s="1"/>
  <c r="Q40" i="2"/>
  <c r="R40" i="2"/>
  <c r="T40" i="2" s="1"/>
  <c r="V40" i="2"/>
  <c r="X40" i="2" s="1"/>
  <c r="Q41" i="2"/>
  <c r="R41" i="2" s="1"/>
  <c r="T41" i="2" s="1"/>
  <c r="V41" i="2"/>
  <c r="X41" i="2"/>
  <c r="Q42" i="2"/>
  <c r="R42" i="2"/>
  <c r="T42" i="2"/>
  <c r="V42" i="2"/>
  <c r="X42" i="2" s="1"/>
  <c r="Q43" i="2"/>
  <c r="R43" i="2"/>
  <c r="T43" i="2"/>
  <c r="V43" i="2"/>
  <c r="X43" i="2"/>
  <c r="Q44" i="2"/>
  <c r="R44" i="2" s="1"/>
  <c r="T44" i="2" s="1"/>
  <c r="V44" i="2"/>
  <c r="X44" i="2"/>
  <c r="Q45" i="2"/>
  <c r="R45" i="2" s="1"/>
  <c r="T45" i="2" s="1"/>
  <c r="V45" i="2"/>
  <c r="X45" i="2"/>
  <c r="Q46" i="2"/>
  <c r="R46" i="2" s="1"/>
  <c r="T46" i="2" s="1"/>
  <c r="V46" i="2"/>
  <c r="X46" i="2" s="1"/>
  <c r="Q47" i="2"/>
  <c r="R47" i="2" s="1"/>
  <c r="T47" i="2" s="1"/>
  <c r="V47" i="2"/>
  <c r="X47" i="2" s="1"/>
  <c r="Q48" i="2"/>
  <c r="R48" i="2" s="1"/>
  <c r="T48" i="2" s="1"/>
  <c r="V48" i="2"/>
  <c r="X48" i="2" s="1"/>
  <c r="Q49" i="2"/>
  <c r="R49" i="2" s="1"/>
  <c r="T49" i="2" s="1"/>
  <c r="V49" i="2"/>
  <c r="X49" i="2"/>
  <c r="Q50" i="2"/>
  <c r="R50" i="2" s="1"/>
  <c r="T50" i="2" s="1"/>
  <c r="V50" i="2"/>
  <c r="X50" i="2" s="1"/>
  <c r="D83" i="6" l="1"/>
  <c r="C84" i="6"/>
  <c r="C64" i="6"/>
  <c r="D64" i="6" s="1"/>
  <c r="C85" i="6" l="1"/>
  <c r="D84" i="6"/>
  <c r="C65" i="6"/>
  <c r="D65" i="6" s="1"/>
  <c r="D85" i="6" l="1"/>
  <c r="C86" i="6"/>
  <c r="C67" i="6"/>
  <c r="D67" i="6" s="1"/>
  <c r="R56" i="6" s="1" a="1"/>
  <c r="R56" i="6" s="1"/>
  <c r="C66" i="6"/>
  <c r="D66" i="6" s="1"/>
  <c r="C87" i="6" l="1"/>
  <c r="D86" i="6"/>
  <c r="C88" i="6" l="1"/>
  <c r="D88" i="6" s="1"/>
  <c r="D87" i="6"/>
  <c r="S83" i="6" s="1" a="1"/>
  <c r="S83" i="6" s="1"/>
  <c r="D86" i="2"/>
  <c r="D85" i="2"/>
  <c r="D84" i="2"/>
  <c r="D83" i="2"/>
  <c r="D82" i="2"/>
  <c r="D81" i="2"/>
  <c r="D80" i="2"/>
  <c r="D79" i="2"/>
  <c r="D78" i="2"/>
  <c r="D77" i="2"/>
  <c r="D76" i="2"/>
  <c r="D75" i="2"/>
  <c r="D74" i="2"/>
  <c r="D73" i="2"/>
  <c r="D72" i="2"/>
  <c r="D71" i="2"/>
  <c r="D70" i="2"/>
  <c r="D69" i="2"/>
  <c r="D68" i="2"/>
  <c r="D67" i="2"/>
  <c r="D66" i="2"/>
  <c r="D65" i="2"/>
  <c r="D64" i="2"/>
  <c r="D63" i="2"/>
  <c r="D62" i="2"/>
  <c r="D61" i="2"/>
  <c r="D60" i="2"/>
  <c r="D59" i="2"/>
  <c r="D58" i="2"/>
  <c r="D57" i="2"/>
  <c r="D56" i="2"/>
  <c r="D55" i="2"/>
  <c r="D54" i="2"/>
  <c r="D53" i="2"/>
  <c r="D52" i="2"/>
  <c r="D51" i="2"/>
  <c r="D50" i="2"/>
  <c r="D49" i="2"/>
  <c r="D48" i="2"/>
  <c r="D47" i="2"/>
  <c r="D46" i="2"/>
  <c r="D45" i="2"/>
  <c r="D44" i="2"/>
  <c r="D43" i="2"/>
  <c r="D42" i="2"/>
  <c r="D41" i="2"/>
  <c r="D40" i="2"/>
  <c r="D39" i="2"/>
  <c r="D38" i="2"/>
  <c r="D37" i="2"/>
  <c r="D36" i="2"/>
  <c r="D35" i="2"/>
  <c r="D34" i="2"/>
  <c r="D33" i="2"/>
  <c r="D32" i="2"/>
  <c r="D31" i="2"/>
  <c r="D30" i="2"/>
  <c r="D29" i="2"/>
  <c r="D28" i="2"/>
  <c r="D27" i="2"/>
  <c r="D26" i="2"/>
  <c r="D25" i="2"/>
  <c r="D24" i="2"/>
  <c r="D23" i="2"/>
  <c r="D22" i="2"/>
  <c r="D21" i="2"/>
  <c r="D20" i="2"/>
  <c r="D19" i="2"/>
  <c r="D18" i="2"/>
  <c r="D17" i="2"/>
  <c r="N64" i="3"/>
  <c r="W64" i="3" s="1"/>
  <c r="AG64" i="3" s="1"/>
  <c r="O64" i="3"/>
  <c r="P64" i="3"/>
  <c r="Q64" i="3"/>
  <c r="R64" i="3"/>
  <c r="S64" i="3"/>
  <c r="T64" i="3"/>
  <c r="U64" i="3"/>
  <c r="V64" i="3"/>
  <c r="N55" i="3"/>
  <c r="O55" i="3"/>
  <c r="P55" i="3"/>
  <c r="Q55" i="3"/>
  <c r="R55" i="3"/>
  <c r="S55" i="3"/>
  <c r="T55" i="3"/>
  <c r="U55" i="3"/>
  <c r="V55" i="3"/>
  <c r="N56" i="3"/>
  <c r="O56" i="3"/>
  <c r="P56" i="3"/>
  <c r="Q56" i="3"/>
  <c r="R56" i="3"/>
  <c r="S56" i="3"/>
  <c r="T56" i="3"/>
  <c r="U56" i="3"/>
  <c r="V56" i="3"/>
  <c r="W56" i="3"/>
  <c r="AE56" i="3" s="1"/>
  <c r="N57" i="3"/>
  <c r="O57" i="3"/>
  <c r="P57" i="3"/>
  <c r="Q57" i="3"/>
  <c r="R57" i="3"/>
  <c r="S57" i="3"/>
  <c r="T57" i="3"/>
  <c r="U57" i="3"/>
  <c r="V57" i="3"/>
  <c r="N58" i="3"/>
  <c r="O58" i="3"/>
  <c r="P58" i="3"/>
  <c r="Q58" i="3"/>
  <c r="R58" i="3"/>
  <c r="S58" i="3"/>
  <c r="T58" i="3"/>
  <c r="U58" i="3"/>
  <c r="V58" i="3"/>
  <c r="N59" i="3"/>
  <c r="O59" i="3"/>
  <c r="P59" i="3"/>
  <c r="Q59" i="3"/>
  <c r="R59" i="3"/>
  <c r="S59" i="3"/>
  <c r="T59" i="3"/>
  <c r="U59" i="3"/>
  <c r="V59" i="3"/>
  <c r="N60" i="3"/>
  <c r="O60" i="3"/>
  <c r="P60" i="3"/>
  <c r="Q60" i="3"/>
  <c r="R60" i="3"/>
  <c r="S60" i="3"/>
  <c r="T60" i="3"/>
  <c r="U60" i="3"/>
  <c r="V60" i="3"/>
  <c r="W60" i="3"/>
  <c r="AD60" i="3" s="1"/>
  <c r="N61" i="3"/>
  <c r="W61" i="3" s="1"/>
  <c r="O61" i="3"/>
  <c r="P61" i="3"/>
  <c r="Q61" i="3"/>
  <c r="R61" i="3"/>
  <c r="S61" i="3"/>
  <c r="T61" i="3"/>
  <c r="U61" i="3"/>
  <c r="V61" i="3"/>
  <c r="N62" i="3"/>
  <c r="O62" i="3"/>
  <c r="P62" i="3"/>
  <c r="Q62" i="3"/>
  <c r="R62" i="3"/>
  <c r="S62" i="3"/>
  <c r="T62" i="3"/>
  <c r="U62" i="3"/>
  <c r="V62" i="3"/>
  <c r="N63" i="3"/>
  <c r="O63" i="3"/>
  <c r="P63" i="3"/>
  <c r="Q63" i="3"/>
  <c r="R63" i="3"/>
  <c r="S63" i="3"/>
  <c r="T63" i="3"/>
  <c r="U63" i="3"/>
  <c r="V63" i="3"/>
  <c r="N45" i="3"/>
  <c r="O45" i="3"/>
  <c r="P45" i="3"/>
  <c r="Q45" i="3"/>
  <c r="R45" i="3"/>
  <c r="S45" i="3"/>
  <c r="T45" i="3"/>
  <c r="U45" i="3"/>
  <c r="V45" i="3"/>
  <c r="N46" i="3"/>
  <c r="O46" i="3"/>
  <c r="P46" i="3"/>
  <c r="Q46" i="3"/>
  <c r="R46" i="3"/>
  <c r="S46" i="3"/>
  <c r="T46" i="3"/>
  <c r="U46" i="3"/>
  <c r="V46" i="3"/>
  <c r="N47" i="3"/>
  <c r="W47" i="3" s="1"/>
  <c r="X47" i="3" s="1"/>
  <c r="O47" i="3"/>
  <c r="P47" i="3"/>
  <c r="Q47" i="3"/>
  <c r="R47" i="3"/>
  <c r="S47" i="3"/>
  <c r="AC47" i="3" s="1"/>
  <c r="T47" i="3"/>
  <c r="U47" i="3"/>
  <c r="V47" i="3"/>
  <c r="N48" i="3"/>
  <c r="O48" i="3"/>
  <c r="P48" i="3"/>
  <c r="W48" i="3" s="1"/>
  <c r="Q48" i="3"/>
  <c r="R48" i="3"/>
  <c r="S48" i="3"/>
  <c r="T48" i="3"/>
  <c r="U48" i="3"/>
  <c r="V48" i="3"/>
  <c r="N49" i="3"/>
  <c r="O49" i="3"/>
  <c r="P49" i="3"/>
  <c r="Q49" i="3"/>
  <c r="AA49" i="3" s="1"/>
  <c r="R49" i="3"/>
  <c r="S49" i="3"/>
  <c r="T49" i="3"/>
  <c r="U49" i="3"/>
  <c r="V49" i="3"/>
  <c r="W49" i="3"/>
  <c r="AG49" i="3" s="1"/>
  <c r="N50" i="3"/>
  <c r="O50" i="3"/>
  <c r="P50" i="3"/>
  <c r="Q50" i="3"/>
  <c r="R50" i="3"/>
  <c r="S50" i="3"/>
  <c r="T50" i="3"/>
  <c r="U50" i="3"/>
  <c r="V50" i="3"/>
  <c r="N51" i="3"/>
  <c r="O51" i="3"/>
  <c r="P51" i="3"/>
  <c r="Q51" i="3"/>
  <c r="R51" i="3"/>
  <c r="S51" i="3"/>
  <c r="T51" i="3"/>
  <c r="U51" i="3"/>
  <c r="V51" i="3"/>
  <c r="N52" i="3"/>
  <c r="O52" i="3"/>
  <c r="P52" i="3"/>
  <c r="Q52" i="3"/>
  <c r="R52" i="3"/>
  <c r="S52" i="3"/>
  <c r="T52" i="3"/>
  <c r="U52" i="3"/>
  <c r="V52" i="3"/>
  <c r="N53" i="3"/>
  <c r="O53" i="3"/>
  <c r="P53" i="3"/>
  <c r="Q53" i="3"/>
  <c r="R53" i="3"/>
  <c r="S53" i="3"/>
  <c r="T53" i="3"/>
  <c r="U53" i="3"/>
  <c r="V53" i="3"/>
  <c r="N54" i="3"/>
  <c r="O54" i="3"/>
  <c r="P54" i="3"/>
  <c r="Q54" i="3"/>
  <c r="R54" i="3"/>
  <c r="S54" i="3"/>
  <c r="T54" i="3"/>
  <c r="U54" i="3"/>
  <c r="V54" i="3"/>
  <c r="W59" i="3" l="1"/>
  <c r="AF59" i="3"/>
  <c r="AF61" i="3"/>
  <c r="AC60" i="3"/>
  <c r="AB60" i="3"/>
  <c r="AG60" i="3"/>
  <c r="AA60" i="3"/>
  <c r="Y60" i="3"/>
  <c r="Z60" i="3"/>
  <c r="W62" i="3"/>
  <c r="AC62" i="3" s="1"/>
  <c r="AF63" i="3"/>
  <c r="W63" i="3"/>
  <c r="AE63" i="3" s="1"/>
  <c r="AF64" i="3"/>
  <c r="X64" i="3"/>
  <c r="Z64" i="3"/>
  <c r="Y64" i="3"/>
  <c r="AE64" i="3"/>
  <c r="AC64" i="3"/>
  <c r="AB64" i="3"/>
  <c r="AD64" i="3"/>
  <c r="AA64" i="3"/>
  <c r="W57" i="3"/>
  <c r="Y57" i="3" s="1"/>
  <c r="Y56" i="3"/>
  <c r="AF56" i="3"/>
  <c r="W55" i="3"/>
  <c r="AF55" i="3" s="1"/>
  <c r="W53" i="3"/>
  <c r="W54" i="3"/>
  <c r="AD54" i="3" s="1"/>
  <c r="AF53" i="3"/>
  <c r="AB53" i="3"/>
  <c r="W52" i="3"/>
  <c r="AF52" i="3" s="1"/>
  <c r="W51" i="3"/>
  <c r="AF51" i="3" s="1"/>
  <c r="AA62" i="3"/>
  <c r="AB61" i="3"/>
  <c r="AC56" i="3"/>
  <c r="AB63" i="3"/>
  <c r="AF60" i="3"/>
  <c r="X60" i="3"/>
  <c r="Y59" i="3"/>
  <c r="AG56" i="3"/>
  <c r="AB56" i="3"/>
  <c r="Z56" i="3"/>
  <c r="AA56" i="3"/>
  <c r="X62" i="3"/>
  <c r="AE59" i="3"/>
  <c r="X56" i="3"/>
  <c r="AE61" i="3"/>
  <c r="W58" i="3"/>
  <c r="AE58" i="3" s="1"/>
  <c r="AE57" i="3"/>
  <c r="AG59" i="3"/>
  <c r="Z59" i="3"/>
  <c r="AA59" i="3"/>
  <c r="AC59" i="3"/>
  <c r="AD59" i="3"/>
  <c r="AD61" i="3"/>
  <c r="Y61" i="3"/>
  <c r="AG61" i="3"/>
  <c r="Z61" i="3"/>
  <c r="AA61" i="3"/>
  <c r="AC61" i="3"/>
  <c r="Y63" i="3"/>
  <c r="AG63" i="3"/>
  <c r="Z63" i="3"/>
  <c r="AC63" i="3"/>
  <c r="AD63" i="3"/>
  <c r="AB59" i="3"/>
  <c r="AB55" i="3"/>
  <c r="AE60" i="3"/>
  <c r="AD56" i="3"/>
  <c r="X63" i="3"/>
  <c r="X61" i="3"/>
  <c r="X59" i="3"/>
  <c r="X55" i="3"/>
  <c r="W50" i="3"/>
  <c r="X50" i="3" s="1"/>
  <c r="AD49" i="3"/>
  <c r="Z49" i="3"/>
  <c r="Y49" i="3"/>
  <c r="AF49" i="3"/>
  <c r="X49" i="3"/>
  <c r="AE49" i="3"/>
  <c r="AC49" i="3"/>
  <c r="AB49" i="3"/>
  <c r="AF48" i="3"/>
  <c r="X48" i="3"/>
  <c r="Y48" i="3"/>
  <c r="AG48" i="3"/>
  <c r="AD48" i="3"/>
  <c r="AE48" i="3"/>
  <c r="AC48" i="3"/>
  <c r="AB48" i="3"/>
  <c r="AA48" i="3"/>
  <c r="Z48" i="3"/>
  <c r="AF47" i="3"/>
  <c r="AD47" i="3"/>
  <c r="AB47" i="3"/>
  <c r="Y47" i="3"/>
  <c r="AE47" i="3"/>
  <c r="W46" i="3"/>
  <c r="AB46" i="3" s="1"/>
  <c r="Y46" i="3"/>
  <c r="X46" i="3"/>
  <c r="AE46" i="3"/>
  <c r="W45" i="3"/>
  <c r="AC45" i="3" s="1"/>
  <c r="AG46" i="3"/>
  <c r="AA46" i="3"/>
  <c r="Z46" i="3"/>
  <c r="X45" i="3"/>
  <c r="AB45" i="3"/>
  <c r="AD45" i="3"/>
  <c r="AE50" i="3"/>
  <c r="AE54" i="3"/>
  <c r="AG54" i="3"/>
  <c r="Y53" i="3"/>
  <c r="Z52" i="3"/>
  <c r="AB50" i="3"/>
  <c r="AD53" i="3"/>
  <c r="AC53" i="3"/>
  <c r="AG53" i="3"/>
  <c r="Z53" i="3"/>
  <c r="AA53" i="3"/>
  <c r="AE53" i="3"/>
  <c r="AD52" i="3"/>
  <c r="AE52" i="3"/>
  <c r="AG52" i="3"/>
  <c r="Y52" i="3"/>
  <c r="AA47" i="3"/>
  <c r="AA45" i="3"/>
  <c r="Z47" i="3"/>
  <c r="Z45" i="3"/>
  <c r="AG47" i="3"/>
  <c r="AG45" i="3"/>
  <c r="Y45" i="3"/>
  <c r="X53" i="3"/>
  <c r="AF45" i="3"/>
  <c r="X58" i="3" l="1"/>
  <c r="AB62" i="3"/>
  <c r="AF62" i="3"/>
  <c r="AG62" i="3"/>
  <c r="AE62" i="3"/>
  <c r="AD62" i="3"/>
  <c r="Z62" i="3"/>
  <c r="Y62" i="3"/>
  <c r="AA63" i="3"/>
  <c r="AC57" i="3"/>
  <c r="AA57" i="3"/>
  <c r="Z57" i="3"/>
  <c r="X57" i="3"/>
  <c r="AB57" i="3"/>
  <c r="AG57" i="3"/>
  <c r="AF57" i="3"/>
  <c r="AD57" i="3"/>
  <c r="Z55" i="3"/>
  <c r="AE55" i="3"/>
  <c r="AG55" i="3"/>
  <c r="AD55" i="3"/>
  <c r="AA55" i="3"/>
  <c r="AC55" i="3"/>
  <c r="Y55" i="3"/>
  <c r="Y54" i="3"/>
  <c r="AF54" i="3"/>
  <c r="Z54" i="3"/>
  <c r="AA54" i="3"/>
  <c r="X54" i="3"/>
  <c r="AB54" i="3"/>
  <c r="AC54" i="3"/>
  <c r="AA52" i="3"/>
  <c r="AB52" i="3"/>
  <c r="X52" i="3"/>
  <c r="AC52" i="3"/>
  <c r="AD51" i="3"/>
  <c r="AG51" i="3"/>
  <c r="AC51" i="3"/>
  <c r="X51" i="3"/>
  <c r="Z51" i="3"/>
  <c r="Y51" i="3"/>
  <c r="AB51" i="3"/>
  <c r="AE51" i="3"/>
  <c r="AA51" i="3"/>
  <c r="AA58" i="3"/>
  <c r="AC58" i="3"/>
  <c r="AB58" i="3"/>
  <c r="AF58" i="3"/>
  <c r="AD58" i="3"/>
  <c r="Y58" i="3"/>
  <c r="Z58" i="3"/>
  <c r="AG58" i="3"/>
  <c r="AD50" i="3"/>
  <c r="Z50" i="3"/>
  <c r="AA50" i="3"/>
  <c r="Y50" i="3"/>
  <c r="AC50" i="3"/>
  <c r="AF50" i="3"/>
  <c r="AG50" i="3"/>
  <c r="AF46" i="3"/>
  <c r="AC46" i="3"/>
  <c r="AD46" i="3"/>
  <c r="AE45" i="3"/>
  <c r="AF18" i="3" l="1"/>
  <c r="AF19" i="3"/>
  <c r="AF20" i="3"/>
  <c r="AF21" i="3"/>
  <c r="AF22" i="3"/>
  <c r="AF23" i="3"/>
  <c r="AF24" i="3"/>
  <c r="AF25" i="3"/>
  <c r="AF26" i="3"/>
  <c r="AF27" i="3"/>
  <c r="AF28" i="3"/>
  <c r="AF29" i="3"/>
  <c r="AF30" i="3"/>
  <c r="AE18" i="3"/>
  <c r="AE19" i="3"/>
  <c r="AE20" i="3"/>
  <c r="AE21" i="3"/>
  <c r="AE22" i="3"/>
  <c r="AE23" i="3"/>
  <c r="AE24" i="3"/>
  <c r="AE25" i="3"/>
  <c r="AE26" i="3"/>
  <c r="AE27" i="3"/>
  <c r="AE28" i="3"/>
  <c r="AE29" i="3"/>
  <c r="AE30" i="3"/>
  <c r="AD18" i="3"/>
  <c r="AD19" i="3"/>
  <c r="AD20" i="3"/>
  <c r="AD21" i="3"/>
  <c r="AD22" i="3"/>
  <c r="AD23" i="3"/>
  <c r="AD24" i="3"/>
  <c r="AD25" i="3"/>
  <c r="AD26" i="3"/>
  <c r="AD27" i="3"/>
  <c r="AD28" i="3"/>
  <c r="AD29" i="3"/>
  <c r="AD30" i="3"/>
  <c r="AC18" i="3"/>
  <c r="AC19" i="3"/>
  <c r="AC20" i="3"/>
  <c r="AC21" i="3"/>
  <c r="AC22" i="3"/>
  <c r="AC23" i="3"/>
  <c r="AC24" i="3"/>
  <c r="AC25" i="3"/>
  <c r="AC26" i="3"/>
  <c r="AC27" i="3"/>
  <c r="AC28" i="3"/>
  <c r="AC29" i="3"/>
  <c r="AC30" i="3"/>
  <c r="AB18" i="3"/>
  <c r="AB19" i="3"/>
  <c r="AB20" i="3"/>
  <c r="AB21" i="3"/>
  <c r="AB22" i="3"/>
  <c r="AB23" i="3"/>
  <c r="AB24" i="3"/>
  <c r="AB25" i="3"/>
  <c r="AB26" i="3"/>
  <c r="AB27" i="3"/>
  <c r="AB28" i="3"/>
  <c r="AB29" i="3"/>
  <c r="AB30" i="3"/>
  <c r="AA18" i="3"/>
  <c r="AA19" i="3"/>
  <c r="AA20" i="3"/>
  <c r="AA21" i="3"/>
  <c r="AA22" i="3"/>
  <c r="AA23" i="3"/>
  <c r="AA24" i="3"/>
  <c r="AA25" i="3"/>
  <c r="AA26" i="3"/>
  <c r="AA27" i="3"/>
  <c r="AA28" i="3"/>
  <c r="AA29" i="3"/>
  <c r="AA30" i="3"/>
  <c r="Z18" i="3"/>
  <c r="Z19" i="3"/>
  <c r="Z20" i="3"/>
  <c r="Z21" i="3"/>
  <c r="Z22" i="3"/>
  <c r="Z23" i="3"/>
  <c r="Z24" i="3"/>
  <c r="Z25" i="3"/>
  <c r="Z26" i="3"/>
  <c r="Z27" i="3"/>
  <c r="Z28" i="3"/>
  <c r="Z29" i="3"/>
  <c r="Z30" i="3"/>
  <c r="Y18" i="3"/>
  <c r="Y19" i="3"/>
  <c r="Y20" i="3"/>
  <c r="Y21" i="3"/>
  <c r="Y22" i="3"/>
  <c r="Y23" i="3"/>
  <c r="Y24" i="3"/>
  <c r="Y25" i="3"/>
  <c r="Y26" i="3"/>
  <c r="Y27" i="3"/>
  <c r="Y28" i="3"/>
  <c r="Y29" i="3"/>
  <c r="Y30" i="3"/>
  <c r="X18" i="3"/>
  <c r="X19" i="3"/>
  <c r="X20" i="3"/>
  <c r="X21" i="3"/>
  <c r="X22" i="3"/>
  <c r="X23" i="3"/>
  <c r="X24" i="3"/>
  <c r="X25" i="3"/>
  <c r="X26" i="3"/>
  <c r="X27" i="3"/>
  <c r="X28" i="3"/>
  <c r="X29" i="3"/>
  <c r="X30" i="3"/>
  <c r="Y17" i="3"/>
  <c r="Z17" i="3"/>
  <c r="AA17" i="3"/>
  <c r="AB17" i="3"/>
  <c r="AC17" i="3"/>
  <c r="AD17" i="3"/>
  <c r="AE17" i="3"/>
  <c r="AF17" i="3"/>
  <c r="X17" i="3"/>
  <c r="V44" i="3" l="1"/>
  <c r="U44" i="3"/>
  <c r="T44" i="3"/>
  <c r="S44" i="3"/>
  <c r="R44" i="3"/>
  <c r="Q44" i="3"/>
  <c r="P44" i="3"/>
  <c r="O44" i="3"/>
  <c r="N44" i="3"/>
  <c r="V43" i="3"/>
  <c r="U43" i="3"/>
  <c r="T43" i="3"/>
  <c r="S43" i="3"/>
  <c r="R43" i="3"/>
  <c r="Q43" i="3"/>
  <c r="P43" i="3"/>
  <c r="O43" i="3"/>
  <c r="N43" i="3"/>
  <c r="V42" i="3"/>
  <c r="U42" i="3"/>
  <c r="T42" i="3"/>
  <c r="S42" i="3"/>
  <c r="R42" i="3"/>
  <c r="Q42" i="3"/>
  <c r="P42" i="3"/>
  <c r="O42" i="3"/>
  <c r="N42" i="3"/>
  <c r="V41" i="3"/>
  <c r="U41" i="3"/>
  <c r="T41" i="3"/>
  <c r="S41" i="3"/>
  <c r="R41" i="3"/>
  <c r="Q41" i="3"/>
  <c r="P41" i="3"/>
  <c r="O41" i="3"/>
  <c r="N41" i="3"/>
  <c r="V40" i="3"/>
  <c r="U40" i="3"/>
  <c r="T40" i="3"/>
  <c r="S40" i="3"/>
  <c r="R40" i="3"/>
  <c r="Q40" i="3"/>
  <c r="P40" i="3"/>
  <c r="O40" i="3"/>
  <c r="N40" i="3"/>
  <c r="V39" i="3"/>
  <c r="U39" i="3"/>
  <c r="T39" i="3"/>
  <c r="S39" i="3"/>
  <c r="R39" i="3"/>
  <c r="Q39" i="3"/>
  <c r="P39" i="3"/>
  <c r="O39" i="3"/>
  <c r="N39" i="3"/>
  <c r="V38" i="3"/>
  <c r="U38" i="3"/>
  <c r="T38" i="3"/>
  <c r="S38" i="3"/>
  <c r="R38" i="3"/>
  <c r="Q38" i="3"/>
  <c r="P38" i="3"/>
  <c r="O38" i="3"/>
  <c r="N38" i="3"/>
  <c r="V37" i="3"/>
  <c r="U37" i="3"/>
  <c r="T37" i="3"/>
  <c r="S37" i="3"/>
  <c r="R37" i="3"/>
  <c r="Q37" i="3"/>
  <c r="P37" i="3"/>
  <c r="O37" i="3"/>
  <c r="N37" i="3"/>
  <c r="V36" i="3"/>
  <c r="U36" i="3"/>
  <c r="T36" i="3"/>
  <c r="S36" i="3"/>
  <c r="R36" i="3"/>
  <c r="Q36" i="3"/>
  <c r="P36" i="3"/>
  <c r="O36" i="3"/>
  <c r="N36" i="3"/>
  <c r="V35" i="3"/>
  <c r="U35" i="3"/>
  <c r="T35" i="3"/>
  <c r="S35" i="3"/>
  <c r="R35" i="3"/>
  <c r="Q35" i="3"/>
  <c r="P35" i="3"/>
  <c r="O35" i="3"/>
  <c r="N35" i="3"/>
  <c r="V34" i="3"/>
  <c r="U34" i="3"/>
  <c r="T34" i="3"/>
  <c r="S34" i="3"/>
  <c r="R34" i="3"/>
  <c r="Q34" i="3"/>
  <c r="P34" i="3"/>
  <c r="O34" i="3"/>
  <c r="N34" i="3"/>
  <c r="V33" i="3"/>
  <c r="U33" i="3"/>
  <c r="T33" i="3"/>
  <c r="S33" i="3"/>
  <c r="R33" i="3"/>
  <c r="Q33" i="3"/>
  <c r="P33" i="3"/>
  <c r="O33" i="3"/>
  <c r="N33" i="3"/>
  <c r="V32" i="3"/>
  <c r="U32" i="3"/>
  <c r="T32" i="3"/>
  <c r="S32" i="3"/>
  <c r="R32" i="3"/>
  <c r="Q32" i="3"/>
  <c r="P32" i="3"/>
  <c r="O32" i="3"/>
  <c r="N32" i="3"/>
  <c r="V31" i="3"/>
  <c r="U31" i="3"/>
  <c r="T31" i="3"/>
  <c r="S31" i="3"/>
  <c r="R31" i="3"/>
  <c r="Q31" i="3"/>
  <c r="P31" i="3"/>
  <c r="O31" i="3"/>
  <c r="N31" i="3"/>
  <c r="V30" i="3"/>
  <c r="U30" i="3"/>
  <c r="T30" i="3"/>
  <c r="S30" i="3"/>
  <c r="R30" i="3"/>
  <c r="Q30" i="3"/>
  <c r="P30" i="3"/>
  <c r="O30" i="3"/>
  <c r="N30" i="3"/>
  <c r="V29" i="3"/>
  <c r="U29" i="3"/>
  <c r="T29" i="3"/>
  <c r="S29" i="3"/>
  <c r="R29" i="3"/>
  <c r="Q29" i="3"/>
  <c r="P29" i="3"/>
  <c r="O29" i="3"/>
  <c r="N29" i="3"/>
  <c r="V28" i="3"/>
  <c r="U28" i="3"/>
  <c r="T28" i="3"/>
  <c r="S28" i="3"/>
  <c r="R28" i="3"/>
  <c r="Q28" i="3"/>
  <c r="P28" i="3"/>
  <c r="O28" i="3"/>
  <c r="N28" i="3"/>
  <c r="V27" i="3"/>
  <c r="U27" i="3"/>
  <c r="T27" i="3"/>
  <c r="S27" i="3"/>
  <c r="R27" i="3"/>
  <c r="Q27" i="3"/>
  <c r="P27" i="3"/>
  <c r="O27" i="3"/>
  <c r="N27" i="3"/>
  <c r="V26" i="3"/>
  <c r="U26" i="3"/>
  <c r="T26" i="3"/>
  <c r="S26" i="3"/>
  <c r="R26" i="3"/>
  <c r="Q26" i="3"/>
  <c r="P26" i="3"/>
  <c r="O26" i="3"/>
  <c r="N26" i="3"/>
  <c r="V25" i="3"/>
  <c r="U25" i="3"/>
  <c r="T25" i="3"/>
  <c r="S25" i="3"/>
  <c r="R25" i="3"/>
  <c r="Q25" i="3"/>
  <c r="P25" i="3"/>
  <c r="O25" i="3"/>
  <c r="N25" i="3"/>
  <c r="V24" i="3"/>
  <c r="U24" i="3"/>
  <c r="T24" i="3"/>
  <c r="S24" i="3"/>
  <c r="R24" i="3"/>
  <c r="Q24" i="3"/>
  <c r="P24" i="3"/>
  <c r="O24" i="3"/>
  <c r="N24" i="3"/>
  <c r="V23" i="3"/>
  <c r="U23" i="3"/>
  <c r="T23" i="3"/>
  <c r="S23" i="3"/>
  <c r="R23" i="3"/>
  <c r="Q23" i="3"/>
  <c r="P23" i="3"/>
  <c r="O23" i="3"/>
  <c r="N23" i="3"/>
  <c r="V22" i="3"/>
  <c r="U22" i="3"/>
  <c r="T22" i="3"/>
  <c r="S22" i="3"/>
  <c r="R22" i="3"/>
  <c r="Q22" i="3"/>
  <c r="P22" i="3"/>
  <c r="O22" i="3"/>
  <c r="N22" i="3"/>
  <c r="V21" i="3"/>
  <c r="U21" i="3"/>
  <c r="T21" i="3"/>
  <c r="S21" i="3"/>
  <c r="R21" i="3"/>
  <c r="Q21" i="3"/>
  <c r="P21" i="3"/>
  <c r="O21" i="3"/>
  <c r="N21" i="3"/>
  <c r="V20" i="3"/>
  <c r="U20" i="3"/>
  <c r="T20" i="3"/>
  <c r="S20" i="3"/>
  <c r="R20" i="3"/>
  <c r="Q20" i="3"/>
  <c r="P20" i="3"/>
  <c r="O20" i="3"/>
  <c r="N20" i="3"/>
  <c r="V19" i="3"/>
  <c r="U19" i="3"/>
  <c r="T19" i="3"/>
  <c r="S19" i="3"/>
  <c r="R19" i="3"/>
  <c r="Q19" i="3"/>
  <c r="P19" i="3"/>
  <c r="O19" i="3"/>
  <c r="N19" i="3"/>
  <c r="V18" i="3"/>
  <c r="U18" i="3"/>
  <c r="T18" i="3"/>
  <c r="S18" i="3"/>
  <c r="R18" i="3"/>
  <c r="Q18" i="3"/>
  <c r="P18" i="3"/>
  <c r="O18" i="3"/>
  <c r="N18" i="3"/>
  <c r="V17" i="3"/>
  <c r="U17" i="3"/>
  <c r="T17" i="3"/>
  <c r="S17" i="3"/>
  <c r="R17" i="3"/>
  <c r="Q17" i="3"/>
  <c r="P17" i="3"/>
  <c r="O17" i="3"/>
  <c r="N17" i="3"/>
  <c r="X37" i="3" l="1"/>
  <c r="W18" i="3"/>
  <c r="AG18" i="3" s="1"/>
  <c r="W20" i="3"/>
  <c r="AG20" i="3" s="1"/>
  <c r="W22" i="3"/>
  <c r="AG22" i="3" s="1"/>
  <c r="W24" i="3"/>
  <c r="AG24" i="3" s="1"/>
  <c r="W26" i="3"/>
  <c r="AG26" i="3" s="1"/>
  <c r="W28" i="3"/>
  <c r="AG28" i="3" s="1"/>
  <c r="W30" i="3"/>
  <c r="AG30" i="3" s="1"/>
  <c r="W32" i="3"/>
  <c r="AG32" i="3" s="1"/>
  <c r="W34" i="3"/>
  <c r="AG34" i="3" s="1"/>
  <c r="W36" i="3"/>
  <c r="AG36" i="3" s="1"/>
  <c r="W38" i="3"/>
  <c r="AG38" i="3" s="1"/>
  <c r="W40" i="3"/>
  <c r="AG40" i="3" s="1"/>
  <c r="W42" i="3"/>
  <c r="AG42" i="3" s="1"/>
  <c r="W44" i="3"/>
  <c r="AG44" i="3" s="1"/>
  <c r="W19" i="3"/>
  <c r="AG19" i="3" s="1"/>
  <c r="W21" i="3"/>
  <c r="AG21" i="3" s="1"/>
  <c r="W23" i="3"/>
  <c r="AG23" i="3" s="1"/>
  <c r="W25" i="3"/>
  <c r="AG25" i="3" s="1"/>
  <c r="W27" i="3"/>
  <c r="AG27" i="3" s="1"/>
  <c r="W29" i="3"/>
  <c r="AG29" i="3" s="1"/>
  <c r="W31" i="3"/>
  <c r="AG31" i="3" s="1"/>
  <c r="W33" i="3"/>
  <c r="AD33" i="3" s="1"/>
  <c r="W35" i="3"/>
  <c r="AG35" i="3" s="1"/>
  <c r="W37" i="3"/>
  <c r="AG37" i="3" s="1"/>
  <c r="W39" i="3"/>
  <c r="AG39" i="3" s="1"/>
  <c r="W41" i="3"/>
  <c r="AG41" i="3" s="1"/>
  <c r="W43" i="3"/>
  <c r="AG43" i="3" s="1"/>
  <c r="W17" i="3"/>
  <c r="AD44" i="3" l="1"/>
  <c r="AC44" i="3"/>
  <c r="AB44" i="3"/>
  <c r="X44" i="3"/>
  <c r="AF44" i="3"/>
  <c r="Z44" i="3"/>
  <c r="AE44" i="3"/>
  <c r="AE43" i="3"/>
  <c r="AC43" i="3"/>
  <c r="AD43" i="3"/>
  <c r="AF43" i="3"/>
  <c r="AB43" i="3"/>
  <c r="AA43" i="3"/>
  <c r="AA42" i="3"/>
  <c r="Z42" i="3"/>
  <c r="AC42" i="3"/>
  <c r="AB42" i="3"/>
  <c r="AF42" i="3"/>
  <c r="AC40" i="3"/>
  <c r="AB40" i="3"/>
  <c r="Z39" i="3"/>
  <c r="Y38" i="3"/>
  <c r="AE38" i="3"/>
  <c r="AC38" i="3"/>
  <c r="AD38" i="3"/>
  <c r="AB38" i="3"/>
  <c r="AF38" i="3"/>
  <c r="AA38" i="3"/>
  <c r="AC37" i="3"/>
  <c r="Z41" i="3"/>
  <c r="AD39" i="3"/>
  <c r="AB37" i="3"/>
  <c r="AA40" i="3"/>
  <c r="Y44" i="3"/>
  <c r="AC39" i="3"/>
  <c r="X42" i="3"/>
  <c r="AA37" i="3"/>
  <c r="AE42" i="3"/>
  <c r="AE41" i="3"/>
  <c r="X43" i="3"/>
  <c r="AF39" i="3"/>
  <c r="AD40" i="3"/>
  <c r="AA41" i="3"/>
  <c r="AD41" i="3"/>
  <c r="AB39" i="3"/>
  <c r="X40" i="3"/>
  <c r="AE40" i="3"/>
  <c r="Z43" i="3"/>
  <c r="Y42" i="3"/>
  <c r="Y41" i="3"/>
  <c r="AE39" i="3"/>
  <c r="AF41" i="3"/>
  <c r="Y39" i="3"/>
  <c r="AD42" i="3"/>
  <c r="AD37" i="3"/>
  <c r="X39" i="3"/>
  <c r="Y37" i="3"/>
  <c r="Z40" i="3"/>
  <c r="X41" i="3"/>
  <c r="AC41" i="3"/>
  <c r="AF40" i="3"/>
  <c r="AF37" i="3"/>
  <c r="AB41" i="3"/>
  <c r="AA39" i="3"/>
  <c r="AE37" i="3"/>
  <c r="Y40" i="3"/>
  <c r="X38" i="3"/>
  <c r="Z38" i="3"/>
  <c r="AA44" i="3"/>
  <c r="Z37" i="3"/>
  <c r="Y43" i="3"/>
  <c r="AF36" i="3"/>
  <c r="AB36" i="3"/>
  <c r="AD36" i="3"/>
  <c r="AA36" i="3"/>
  <c r="X36" i="3"/>
  <c r="AE36" i="3"/>
  <c r="AC36" i="3"/>
  <c r="Y36" i="3"/>
  <c r="Z36" i="3"/>
  <c r="AC35" i="3"/>
  <c r="AB35" i="3"/>
  <c r="AF35" i="3"/>
  <c r="AD35" i="3"/>
  <c r="AA35" i="3"/>
  <c r="Y35" i="3"/>
  <c r="X35" i="3"/>
  <c r="Z35" i="3"/>
  <c r="AE35" i="3"/>
  <c r="AD34" i="3"/>
  <c r="X34" i="3"/>
  <c r="Y34" i="3"/>
  <c r="Z34" i="3"/>
  <c r="AF34" i="3"/>
  <c r="AE34" i="3"/>
  <c r="AC34" i="3"/>
  <c r="AA34" i="3"/>
  <c r="AB34" i="3"/>
  <c r="AG33" i="3"/>
  <c r="AC33" i="3"/>
  <c r="Y33" i="3"/>
  <c r="AB33" i="3"/>
  <c r="X33" i="3"/>
  <c r="AF33" i="3"/>
  <c r="AE33" i="3"/>
  <c r="AA33" i="3"/>
  <c r="Z33" i="3"/>
  <c r="AB32" i="3"/>
  <c r="AE32" i="3"/>
  <c r="X32" i="3"/>
  <c r="AA32" i="3"/>
  <c r="Y32" i="3"/>
  <c r="AD32" i="3"/>
  <c r="Z32" i="3"/>
  <c r="AC32" i="3"/>
  <c r="AF32" i="3"/>
  <c r="AC31" i="3"/>
  <c r="Y31" i="3"/>
  <c r="AF31" i="3"/>
  <c r="AE31" i="3"/>
  <c r="AB31" i="3"/>
  <c r="AA31" i="3"/>
  <c r="Z31" i="3"/>
  <c r="AD31" i="3"/>
  <c r="X31" i="3"/>
  <c r="AG17" i="3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<sst xmlns="http://schemas.openxmlformats.org/spreadsheetml/2006/main" count="358" uniqueCount="216">
  <si>
    <t>Experiments</t>
  </si>
  <si>
    <t>Date</t>
  </si>
  <si>
    <t>Retention times [min]</t>
  </si>
  <si>
    <t>Internal standard</t>
  </si>
  <si>
    <t>C4</t>
  </si>
  <si>
    <t>C6</t>
  </si>
  <si>
    <t>C8</t>
  </si>
  <si>
    <t>C10</t>
  </si>
  <si>
    <t>C12</t>
  </si>
  <si>
    <t>GC - peak area data</t>
  </si>
  <si>
    <t>Mass of PHA monomer</t>
  </si>
  <si>
    <t>PHA monomer distribution</t>
  </si>
  <si>
    <t>Sample name</t>
  </si>
  <si>
    <t>Sample amount [mg]</t>
  </si>
  <si>
    <t>Methanolysis conversion efficiency, X</t>
  </si>
  <si>
    <t>Internal  standard peak</t>
  </si>
  <si>
    <t>C5</t>
  </si>
  <si>
    <t>C7</t>
  </si>
  <si>
    <t>C9</t>
  </si>
  <si>
    <t>C11</t>
  </si>
  <si>
    <t>Total PHA [mg]</t>
  </si>
  <si>
    <t>Total %PHA</t>
  </si>
  <si>
    <t>Continuous fermentation</t>
  </si>
  <si>
    <t>CF6-24</t>
  </si>
  <si>
    <t>CF6-48</t>
  </si>
  <si>
    <t>CF6-79</t>
  </si>
  <si>
    <t>CF6-99</t>
  </si>
  <si>
    <t>CF6-122</t>
  </si>
  <si>
    <t>CF6-144</t>
  </si>
  <si>
    <t>CF6-169</t>
  </si>
  <si>
    <t>CF6-192</t>
  </si>
  <si>
    <t>CF6-217</t>
  </si>
  <si>
    <t>CF6-242</t>
  </si>
  <si>
    <t>CF6-263</t>
  </si>
  <si>
    <t>CF6-290</t>
  </si>
  <si>
    <t>CF6-314</t>
  </si>
  <si>
    <t>CF6-335</t>
  </si>
  <si>
    <t>CF6-363</t>
  </si>
  <si>
    <t>CF6-434</t>
  </si>
  <si>
    <t>CF6-416</t>
  </si>
  <si>
    <t>CF6-462</t>
  </si>
  <si>
    <t>CF6-482</t>
  </si>
  <si>
    <t>CF6-505</t>
  </si>
  <si>
    <t>CF6-529</t>
  </si>
  <si>
    <t>CF6-553</t>
  </si>
  <si>
    <t>CF6-578</t>
  </si>
  <si>
    <t>CF6-606</t>
  </si>
  <si>
    <t>CF6-628</t>
  </si>
  <si>
    <t>CF6-650</t>
  </si>
  <si>
    <t>CF6-677</t>
  </si>
  <si>
    <t>CF6-700</t>
  </si>
  <si>
    <t>CF6-720</t>
  </si>
  <si>
    <t>CF6-751</t>
  </si>
  <si>
    <t>CF6-842</t>
  </si>
  <si>
    <t>CF6-817</t>
  </si>
  <si>
    <t>CF6-793</t>
  </si>
  <si>
    <t>CF6-771</t>
  </si>
  <si>
    <t>CF6-864</t>
  </si>
  <si>
    <t>CF6-890</t>
  </si>
  <si>
    <t>CF6-917</t>
  </si>
  <si>
    <t>CF6-939</t>
  </si>
  <si>
    <t>CF6-967</t>
  </si>
  <si>
    <t>CF6-989</t>
  </si>
  <si>
    <t>CF6-1009</t>
  </si>
  <si>
    <t>CF6-1035</t>
  </si>
  <si>
    <t>CF6-1060</t>
  </si>
  <si>
    <t>CF6-1084</t>
  </si>
  <si>
    <t>CF6-1108</t>
  </si>
  <si>
    <t>CF6-1132</t>
  </si>
  <si>
    <t>CF6-1155</t>
  </si>
  <si>
    <t>CF6-1184</t>
  </si>
  <si>
    <t>July - Sep, 2023</t>
  </si>
  <si>
    <t>1 L Continuous - 100 days</t>
  </si>
  <si>
    <t>Bacterium</t>
  </si>
  <si>
    <t>P. putida CA3</t>
  </si>
  <si>
    <t>C substrate</t>
  </si>
  <si>
    <t>Medium</t>
  </si>
  <si>
    <t>MSM N-lim</t>
  </si>
  <si>
    <t>C/N ratio</t>
  </si>
  <si>
    <t>7 ratios tested</t>
  </si>
  <si>
    <t>Dilution rate, d [/h]</t>
  </si>
  <si>
    <t>5 rates tested</t>
  </si>
  <si>
    <t>EXP name</t>
  </si>
  <si>
    <t xml:space="preserve">CF6 </t>
  </si>
  <si>
    <t>Time [h]</t>
  </si>
  <si>
    <t>Time [Days]</t>
  </si>
  <si>
    <t>OD 540 nm</t>
  </si>
  <si>
    <t>Dilution rate</t>
  </si>
  <si>
    <t>BA-Na [1.96 g C/L]</t>
  </si>
  <si>
    <t>BA [mM]</t>
  </si>
  <si>
    <t>Aim</t>
  </si>
  <si>
    <t>Plan</t>
  </si>
  <si>
    <t>Volumetric productivity</t>
  </si>
  <si>
    <t>CDW [g/l]</t>
  </si>
  <si>
    <t>PHA [mg/l]</t>
  </si>
  <si>
    <t>PHA [mg/l/h]</t>
  </si>
  <si>
    <t>Wf[g]</t>
  </si>
  <si>
    <t>PHA [mg/L]</t>
  </si>
  <si>
    <t>Feed C/N ratio</t>
  </si>
  <si>
    <t>BA-Na [mM]</t>
  </si>
  <si>
    <t>CF6 - C/N and PHA relation</t>
  </si>
  <si>
    <t>BA [g/l]</t>
  </si>
  <si>
    <t>C [mg/l]</t>
  </si>
  <si>
    <t>N [mg/l]</t>
  </si>
  <si>
    <t>CDW [mg/l]</t>
  </si>
  <si>
    <t>PHA [%CDW]</t>
  </si>
  <si>
    <t>Run info  + Monitoring by OD measurements</t>
  </si>
  <si>
    <t>Measurements</t>
  </si>
  <si>
    <t>Culture C/N ratio</t>
  </si>
  <si>
    <t xml:space="preserve">Experiment </t>
  </si>
  <si>
    <t>Run Date</t>
  </si>
  <si>
    <t>Agilent infinity 2</t>
  </si>
  <si>
    <t>BA-na standard</t>
  </si>
  <si>
    <t>RT = 5.60</t>
  </si>
  <si>
    <t>Concentration [mM]</t>
  </si>
  <si>
    <t>Peak area</t>
  </si>
  <si>
    <t>Experiment</t>
  </si>
  <si>
    <t>Timepoint[h]</t>
  </si>
  <si>
    <t>OD at 635 nm</t>
  </si>
  <si>
    <t xml:space="preserve">N-concentration in well [mg/l] </t>
  </si>
  <si>
    <t>Dilution</t>
  </si>
  <si>
    <t>Sample</t>
  </si>
  <si>
    <t>NanoPlateReader</t>
  </si>
  <si>
    <t>BLANK</t>
  </si>
  <si>
    <t>No colour</t>
  </si>
  <si>
    <t xml:space="preserve">N-std </t>
  </si>
  <si>
    <t>N-concentration in well [mg/l]</t>
  </si>
  <si>
    <t>OD at 635nm</t>
  </si>
  <si>
    <t>slope</t>
  </si>
  <si>
    <t>intercept</t>
  </si>
  <si>
    <t>se(slope)</t>
  </si>
  <si>
    <t>se(intercept)</t>
  </si>
  <si>
    <t>r2</t>
  </si>
  <si>
    <t>se(y)</t>
  </si>
  <si>
    <t>F</t>
  </si>
  <si>
    <t>df</t>
  </si>
  <si>
    <t>ss reg</t>
  </si>
  <si>
    <t>ss resid</t>
  </si>
  <si>
    <t>N=OD/0.429397688926138</t>
  </si>
  <si>
    <t>20/10/2022</t>
  </si>
  <si>
    <t>CF6 [undiluted samples]</t>
  </si>
  <si>
    <t xml:space="preserve">N-concentration [mg/l] </t>
  </si>
  <si>
    <t>N-concentration [mg/l] - diluted</t>
  </si>
  <si>
    <t>Dilution factor</t>
  </si>
  <si>
    <t>N=OD/0.409410534471549</t>
  </si>
  <si>
    <t>CF6</t>
  </si>
  <si>
    <t xml:space="preserve">N-concentration of diluted sample [mg/l] </t>
  </si>
  <si>
    <t>CF6 [100 x diluted samples]</t>
  </si>
  <si>
    <t>N-concentration in well [g/l]</t>
  </si>
  <si>
    <t>2x</t>
  </si>
  <si>
    <t>1x</t>
  </si>
  <si>
    <t>21/10/2022</t>
  </si>
  <si>
    <t>OD 0.16</t>
  </si>
  <si>
    <t>10x</t>
  </si>
  <si>
    <t>aug-oct, 2022</t>
  </si>
  <si>
    <t>BA standard</t>
  </si>
  <si>
    <t>BA[mM]</t>
  </si>
  <si>
    <t>Peak not sharp</t>
  </si>
  <si>
    <t>STANDARDS</t>
  </si>
  <si>
    <t>crosscheck</t>
  </si>
  <si>
    <t>12crosscheck</t>
  </si>
  <si>
    <t>B2 control</t>
  </si>
  <si>
    <t>B1 control</t>
  </si>
  <si>
    <t>Wi[g]</t>
  </si>
  <si>
    <t>Sample [T-h]</t>
  </si>
  <si>
    <t>Crosscheck</t>
  </si>
  <si>
    <t>Vol[ml] for 0.005x50 ml</t>
  </si>
  <si>
    <t>OD 540nm</t>
  </si>
  <si>
    <t>T22</t>
  </si>
  <si>
    <t>T23</t>
  </si>
  <si>
    <t>Batch II</t>
  </si>
  <si>
    <t>Batch I</t>
  </si>
  <si>
    <t>10 ml MSM full  N + BA-na</t>
  </si>
  <si>
    <t>Inoculum</t>
  </si>
  <si>
    <t>MSM BA</t>
  </si>
  <si>
    <t>Agar plate</t>
  </si>
  <si>
    <t>Biomass [mg/l/h]</t>
  </si>
  <si>
    <t>CDW - PHA [mg/L]</t>
  </si>
  <si>
    <t>CDW [mg/L]</t>
  </si>
  <si>
    <t>C/N [g/g]</t>
  </si>
  <si>
    <t>N [mg/L]</t>
  </si>
  <si>
    <t>C [mg/L]</t>
  </si>
  <si>
    <t>Culture the bug under N-lim with BA-Na as C source. Harvest the flasks every hour for 24 h. Single flask sufficient [with BI and BII crosscheck].</t>
  </si>
  <si>
    <t xml:space="preserve">To understand relation between growth, N and C concentrations and PHA accumulation </t>
  </si>
  <si>
    <t>WT P. putida CA3_Benzoate</t>
  </si>
  <si>
    <t>G45</t>
  </si>
  <si>
    <t>Exp</t>
  </si>
  <si>
    <t>T12 crosscheck</t>
  </si>
  <si>
    <t>T24</t>
  </si>
  <si>
    <t>T21</t>
  </si>
  <si>
    <t>T20</t>
  </si>
  <si>
    <t>T19</t>
  </si>
  <si>
    <t>T18</t>
  </si>
  <si>
    <t>T17</t>
  </si>
  <si>
    <t>T16</t>
  </si>
  <si>
    <t>T15</t>
  </si>
  <si>
    <t>T14</t>
  </si>
  <si>
    <t>T13</t>
  </si>
  <si>
    <t>T12</t>
  </si>
  <si>
    <t>T11</t>
  </si>
  <si>
    <t>T9</t>
  </si>
  <si>
    <t>T8</t>
  </si>
  <si>
    <t>T7</t>
  </si>
  <si>
    <t>Sample name [hour]</t>
  </si>
  <si>
    <t>March, 2023</t>
  </si>
  <si>
    <t>C/N ratio study - shake flasks [G45]</t>
  </si>
  <si>
    <t>12-crosscheck [cc]</t>
  </si>
  <si>
    <t>Control2</t>
  </si>
  <si>
    <t>Control1</t>
  </si>
  <si>
    <t>C [g/l]</t>
  </si>
  <si>
    <t>Samples [h]</t>
  </si>
  <si>
    <t>RT</t>
  </si>
  <si>
    <t>Agilent 2</t>
  </si>
  <si>
    <t>BA-Na in undiluted samples</t>
  </si>
  <si>
    <t>12 cc</t>
  </si>
  <si>
    <t>N=OD/0.473200374269469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</si>
</sst>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8" x14ac:knownFonts="1">
    <font>
      <sz val="11"/>
      <color theme="1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2" tint="-0.499984740745262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theme="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0" fontId="4" fillId="3" borderId="0" applyNumberFormat="0" applyBorder="0" applyAlignment="0" applyProtection="0"/>
    <xf numFmtId="0" fontId="6" fillId="0" borderId="0"/>
  </cellStyleXfs>
  <cellXfs count="75">
    <xf numFmtId="0" fontId="0" fillId="0" borderId="0" xfId="0"/>
    <xf numFmtId="0" fontId="1" fillId="2" borderId="1" xfId="1" applyFill="1" applyBorder="1"/>
    <xf numFmtId="0" fontId="2" fillId="0" borderId="0" xfId="0" applyFont="1"/>
    <xf numFmtId="2" fontId="0" fillId="0" borderId="0" xfId="0" applyNumberFormat="1"/>
    <xf numFmtId="2" fontId="1" fillId="2" borderId="1" xfId="1" applyNumberFormat="1" applyFill="1" applyBorder="1"/>
    <xf numFmtId="1" fontId="0" fillId="0" borderId="0" xfId="0" applyNumberFormat="1"/>
    <xf numFmtId="0" fontId="0" fillId="4" borderId="0" xfId="0" applyFill="1"/>
    <xf numFmtId="1" fontId="0" fillId="4" borderId="0" xfId="0" applyNumberFormat="1" applyFill="1"/>
    <xf numFmtId="164" fontId="0" fillId="0" borderId="0" xfId="0" applyNumberFormat="1"/>
    <xf numFmtId="0" fontId="0" fillId="5" borderId="0" xfId="0" applyFill="1"/>
    <xf numFmtId="1" fontId="0" fillId="5" borderId="0" xfId="0" applyNumberFormat="1" applyFill="1"/>
    <xf numFmtId="0" fontId="0" fillId="6" borderId="0" xfId="0" applyFill="1"/>
    <xf numFmtId="1" fontId="0" fillId="6" borderId="0" xfId="0" applyNumberFormat="1" applyFill="1"/>
    <xf numFmtId="0" fontId="0" fillId="7" borderId="0" xfId="0" applyFill="1"/>
    <xf numFmtId="1" fontId="0" fillId="7" borderId="0" xfId="0" applyNumberFormat="1" applyFill="1"/>
    <xf numFmtId="0" fontId="0" fillId="8" borderId="0" xfId="0" applyFill="1"/>
    <xf numFmtId="1" fontId="0" fillId="8" borderId="0" xfId="0" applyNumberFormat="1" applyFill="1"/>
    <xf numFmtId="0" fontId="0" fillId="9" borderId="0" xfId="0" applyFill="1"/>
    <xf numFmtId="1" fontId="0" fillId="9" borderId="0" xfId="0" applyNumberFormat="1" applyFill="1"/>
    <xf numFmtId="0" fontId="0" fillId="10" borderId="0" xfId="0" applyFill="1"/>
    <xf numFmtId="1" fontId="0" fillId="10" borderId="0" xfId="0" applyNumberFormat="1" applyFill="1"/>
    <xf numFmtId="0" fontId="0" fillId="11" borderId="0" xfId="0" applyFill="1"/>
    <xf numFmtId="1" fontId="0" fillId="11" borderId="0" xfId="0" applyNumberFormat="1" applyFill="1"/>
    <xf numFmtId="0" fontId="0" fillId="12" borderId="0" xfId="0" applyFill="1"/>
    <xf numFmtId="1" fontId="0" fillId="12" borderId="0" xfId="0" applyNumberFormat="1" applyFill="1"/>
    <xf numFmtId="0" fontId="0" fillId="13" borderId="0" xfId="0" applyFill="1"/>
    <xf numFmtId="1" fontId="0" fillId="13" borderId="0" xfId="0" applyNumberFormat="1" applyFill="1"/>
    <xf numFmtId="0" fontId="0" fillId="14" borderId="0" xfId="0" applyFill="1"/>
    <xf numFmtId="1" fontId="0" fillId="14" borderId="0" xfId="0" applyNumberFormat="1" applyFill="1"/>
    <xf numFmtId="0" fontId="0" fillId="15" borderId="0" xfId="0" applyFill="1"/>
    <xf numFmtId="1" fontId="0" fillId="15" borderId="0" xfId="0" applyNumberFormat="1" applyFill="1"/>
    <xf numFmtId="0" fontId="0" fillId="16" borderId="0" xfId="0" applyFill="1"/>
    <xf numFmtId="1" fontId="0" fillId="16" borderId="0" xfId="0" applyNumberFormat="1" applyFill="1"/>
    <xf numFmtId="0" fontId="0" fillId="17" borderId="0" xfId="0" applyFill="1"/>
    <xf numFmtId="1" fontId="0" fillId="17" borderId="0" xfId="0" applyNumberFormat="1" applyFill="1"/>
    <xf numFmtId="0" fontId="0" fillId="18" borderId="0" xfId="0" applyFill="1"/>
    <xf numFmtId="1" fontId="0" fillId="18" borderId="0" xfId="0" applyNumberFormat="1" applyFill="1"/>
    <xf numFmtId="0" fontId="0" fillId="19" borderId="0" xfId="0" applyFill="1"/>
    <xf numFmtId="1" fontId="0" fillId="19" borderId="0" xfId="0" applyNumberFormat="1" applyFill="1"/>
    <xf numFmtId="0" fontId="0" fillId="20" borderId="0" xfId="0" applyFill="1"/>
    <xf numFmtId="1" fontId="0" fillId="20" borderId="0" xfId="0" applyNumberFormat="1" applyFill="1"/>
    <xf numFmtId="0" fontId="0" fillId="21" borderId="0" xfId="0" applyFill="1"/>
    <xf numFmtId="1" fontId="0" fillId="21" borderId="0" xfId="0" applyNumberFormat="1" applyFill="1"/>
    <xf numFmtId="0" fontId="0" fillId="22" borderId="0" xfId="0" applyFill="1"/>
    <xf numFmtId="1" fontId="0" fillId="22" borderId="0" xfId="0" applyNumberFormat="1" applyFill="1"/>
    <xf numFmtId="0" fontId="0" fillId="23" borderId="0" xfId="0" applyFill="1"/>
    <xf numFmtId="1" fontId="0" fillId="23" borderId="0" xfId="0" applyNumberFormat="1" applyFill="1"/>
    <xf numFmtId="14" fontId="0" fillId="0" borderId="0" xfId="0" applyNumberFormat="1"/>
    <xf numFmtId="0" fontId="5" fillId="0" borderId="0" xfId="0" applyFont="1"/>
    <xf numFmtId="0" fontId="0" fillId="0" borderId="0" xfId="0" applyAlignment="1">
      <alignment wrapText="1"/>
    </xf>
    <xf numFmtId="0" fontId="0" fillId="24" borderId="0" xfId="0" applyFill="1"/>
    <xf numFmtId="164" fontId="0" fillId="24" borderId="0" xfId="0" applyNumberFormat="1" applyFill="1"/>
    <xf numFmtId="165" fontId="0" fillId="0" borderId="0" xfId="0" applyNumberFormat="1"/>
    <xf numFmtId="0" fontId="6" fillId="0" borderId="0" xfId="3"/>
    <xf numFmtId="17" fontId="1" fillId="2" borderId="1" xfId="1" applyNumberFormat="1" applyFill="1" applyBorder="1"/>
    <xf numFmtId="14" fontId="2" fillId="0" borderId="0" xfId="0" applyNumberFormat="1" applyFont="1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4" fillId="0" borderId="0" xfId="2" applyFill="1"/>
    <xf numFmtId="0" fontId="0" fillId="0" borderId="0" xfId="0" applyAlignment="1">
      <alignment horizontal="right"/>
    </xf>
    <xf numFmtId="0" fontId="7" fillId="0" borderId="0" xfId="0" applyFont="1"/>
    <xf numFmtId="164" fontId="0" fillId="0" borderId="0" xfId="0" applyNumberFormat="1" applyAlignment="1">
      <alignment horizontal="right"/>
    </xf>
    <xf numFmtId="14" fontId="5" fillId="0" borderId="0" xfId="0" applyNumberFormat="1" applyFont="1"/>
    <xf numFmtId="0" fontId="4" fillId="3" borderId="0" xfId="2"/>
    <xf numFmtId="0" fontId="0" fillId="25" borderId="0" xfId="0" applyFill="1"/>
    <xf numFmtId="0" fontId="0" fillId="26" borderId="0" xfId="0" applyFill="1"/>
    <xf numFmtId="0" fontId="2" fillId="0" borderId="0" xfId="0" applyFont="1" applyAlignment="1">
      <alignment horizontal="center"/>
    </xf>
    <xf numFmtId="0" fontId="0" fillId="26" borderId="0" xfId="0" applyFill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1" fillId="0" borderId="0" xfId="1" applyAlignment="1">
      <alignment horizontal="center"/>
    </xf>
    <xf numFmtId="0" fontId="2" fillId="0" borderId="0" xfId="0" applyFont="1" applyAlignment="1">
      <alignment horizontal="left"/>
    </xf>
    <xf numFmtId="14" fontId="0" fillId="0" borderId="0" xfId="0" applyNumberFormat="1" applyAlignment="1">
      <alignment horizontal="center"/>
    </xf>
    <xf numFmtId="0" fontId="2" fillId="0" borderId="0" xfId="0" applyFont="1" applyAlignment="1">
      <alignment horizontal="left" wrapText="1"/>
    </xf>
  </cellXfs>
  <cellStyles count="4">
    <cellStyle name="Bad" xfId="2" builtinId="27"/>
    <cellStyle name="Explanatory Text" xfId="1" builtinId="53"/>
    <cellStyle name="Normal" xfId="0" builtinId="0"/>
    <cellStyle name="Normal 2" xfId="3" xr:uid="{2CDC8565-D52A-4859-AB34-E3930AF920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sheetMetadata" Target="metadata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BA standard</a:t>
            </a:r>
            <a:r>
              <a:rPr lang="en-US" baseline="0"/>
              <a:t> 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'[1]Feb_TA,BA,CF6'!$C$5</c:f>
              <c:strCache>
                <c:ptCount val="1"/>
                <c:pt idx="0">
                  <c:v>Peak area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intercept val="0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'[1]Feb_TA,BA,CF6'!$B$8:$B$15</c:f>
              <c:numCache>
                <c:formatCode>General</c:formatCode>
                <c:ptCount val="8"/>
                <c:pt idx="0">
                  <c:v>25</c:v>
                </c:pt>
                <c:pt idx="1">
                  <c:v>12.5</c:v>
                </c:pt>
                <c:pt idx="2">
                  <c:v>6.25</c:v>
                </c:pt>
                <c:pt idx="3">
                  <c:v>3.125</c:v>
                </c:pt>
                <c:pt idx="4">
                  <c:v>1.5625</c:v>
                </c:pt>
                <c:pt idx="5">
                  <c:v>0.78125</c:v>
                </c:pt>
                <c:pt idx="6">
                  <c:v>0.390625</c:v>
                </c:pt>
                <c:pt idx="7">
                  <c:v>0.1953125</c:v>
                </c:pt>
              </c:numCache>
            </c:numRef>
          </c:xVal>
          <c:yVal>
            <c:numRef>
              <c:f>'[1]Feb_TA,BA,CF6'!$C$8:$C$15</c:f>
              <c:numCache>
                <c:formatCode>General</c:formatCode>
                <c:ptCount val="8"/>
                <c:pt idx="0">
                  <c:v>15972.812</c:v>
                </c:pt>
                <c:pt idx="1">
                  <c:v>8583.5589999999993</c:v>
                </c:pt>
                <c:pt idx="2">
                  <c:v>4404.5919999999996</c:v>
                </c:pt>
                <c:pt idx="3">
                  <c:v>2238.1509999999998</c:v>
                </c:pt>
                <c:pt idx="4">
                  <c:v>1133.5630000000001</c:v>
                </c:pt>
                <c:pt idx="5">
                  <c:v>574.73599999999999</c:v>
                </c:pt>
                <c:pt idx="6">
                  <c:v>291.07600000000002</c:v>
                </c:pt>
                <c:pt idx="7">
                  <c:v>149.191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62D-4383-BA11-A4237DFCCE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88980960"/>
        <c:axId val="1888974720"/>
      </c:scatterChart>
      <c:valAx>
        <c:axId val="18889809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mM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8974720"/>
        <c:crosses val="autoZero"/>
        <c:crossBetween val="midCat"/>
      </c:valAx>
      <c:valAx>
        <c:axId val="18889747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Peak</a:t>
                </a:r>
                <a:r>
                  <a:rPr lang="en-IE" baseline="0"/>
                  <a:t> area</a:t>
                </a:r>
                <a:endParaRPr lang="en-IE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898096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30/08/22</a:t>
            </a:r>
            <a:r>
              <a:rPr lang="en-US" baseline="0"/>
              <a:t> - Standard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[2]CF6!$C$5</c:f>
              <c:strCache>
                <c:ptCount val="1"/>
                <c:pt idx="0">
                  <c:v>Peak area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intercept val="0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[2]CF6!$B$8:$B$15</c:f>
              <c:numCache>
                <c:formatCode>General</c:formatCode>
                <c:ptCount val="8"/>
                <c:pt idx="0">
                  <c:v>25</c:v>
                </c:pt>
                <c:pt idx="1">
                  <c:v>12.5</c:v>
                </c:pt>
                <c:pt idx="2">
                  <c:v>6.25</c:v>
                </c:pt>
                <c:pt idx="3">
                  <c:v>3.125</c:v>
                </c:pt>
                <c:pt idx="4">
                  <c:v>1.5625</c:v>
                </c:pt>
                <c:pt idx="5">
                  <c:v>0.78125</c:v>
                </c:pt>
                <c:pt idx="6">
                  <c:v>0.390625</c:v>
                </c:pt>
                <c:pt idx="7">
                  <c:v>0.1953125</c:v>
                </c:pt>
              </c:numCache>
            </c:numRef>
          </c:xVal>
          <c:yVal>
            <c:numRef>
              <c:f>[2]CF6!$C$8:$C$15</c:f>
              <c:numCache>
                <c:formatCode>General</c:formatCode>
                <c:ptCount val="8"/>
                <c:pt idx="0">
                  <c:v>16300.025</c:v>
                </c:pt>
                <c:pt idx="1">
                  <c:v>8866.6119999999992</c:v>
                </c:pt>
                <c:pt idx="2">
                  <c:v>4564.4179999999997</c:v>
                </c:pt>
                <c:pt idx="3">
                  <c:v>2088.7979999999998</c:v>
                </c:pt>
                <c:pt idx="4">
                  <c:v>1179.6579999999999</c:v>
                </c:pt>
                <c:pt idx="5">
                  <c:v>595.29700000000003</c:v>
                </c:pt>
                <c:pt idx="6">
                  <c:v>293.601</c:v>
                </c:pt>
                <c:pt idx="7">
                  <c:v>146.61199999999999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C7C-4E45-8543-BBDCA146E6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0223280"/>
        <c:axId val="530224944"/>
      </c:scatterChart>
      <c:valAx>
        <c:axId val="5302232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BA</a:t>
                </a:r>
                <a:r>
                  <a:rPr lang="en-IE" baseline="0"/>
                  <a:t> [mM]</a:t>
                </a:r>
                <a:endParaRPr lang="en-IE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0224944"/>
        <c:crosses val="autoZero"/>
        <c:crossBetween val="midCat"/>
      </c:valAx>
      <c:valAx>
        <c:axId val="5302249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Peak</a:t>
                </a:r>
                <a:r>
                  <a:rPr lang="en-IE" baseline="0"/>
                  <a:t> area</a:t>
                </a:r>
                <a:endParaRPr lang="en-IE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022328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/>
              <a:t>N</a:t>
            </a:r>
            <a:r>
              <a:rPr lang="en-IE" baseline="0"/>
              <a:t> standard</a:t>
            </a:r>
            <a:endParaRPr lang="en-IE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[3]Standards!$E$315</c:f>
              <c:strCache>
                <c:ptCount val="1"/>
                <c:pt idx="0">
                  <c:v>OD at 635nm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intercept val="0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[3]Standards!$D$316:$D$325</c:f>
              <c:numCache>
                <c:formatCode>General</c:formatCode>
                <c:ptCount val="10"/>
                <c:pt idx="0">
                  <c:v>1.30925</c:v>
                </c:pt>
                <c:pt idx="1">
                  <c:v>0.65462500000000001</c:v>
                </c:pt>
                <c:pt idx="2">
                  <c:v>0.32731250000000001</c:v>
                </c:pt>
                <c:pt idx="3">
                  <c:v>0.16365625</c:v>
                </c:pt>
                <c:pt idx="4">
                  <c:v>8.1828125000000002E-2</c:v>
                </c:pt>
                <c:pt idx="5">
                  <c:v>4.0914062500000001E-2</c:v>
                </c:pt>
                <c:pt idx="6">
                  <c:v>2.045703125E-2</c:v>
                </c:pt>
                <c:pt idx="7">
                  <c:v>1.0228515625E-2</c:v>
                </c:pt>
                <c:pt idx="8">
                  <c:v>5.1142578125000001E-3</c:v>
                </c:pt>
                <c:pt idx="9">
                  <c:v>2.55712890625E-3</c:v>
                </c:pt>
              </c:numCache>
            </c:numRef>
          </c:xVal>
          <c:yVal>
            <c:numRef>
              <c:f>[3]Standards!$E$316:$E$325</c:f>
              <c:numCache>
                <c:formatCode>General</c:formatCode>
                <c:ptCount val="10"/>
                <c:pt idx="0">
                  <c:v>0.53500000000000003</c:v>
                </c:pt>
                <c:pt idx="1">
                  <c:v>0.27300000000000002</c:v>
                </c:pt>
                <c:pt idx="2">
                  <c:v>0.13600000000000001</c:v>
                </c:pt>
                <c:pt idx="3">
                  <c:v>7.0000000000000007E-2</c:v>
                </c:pt>
                <c:pt idx="4">
                  <c:v>2.9000000000000001E-2</c:v>
                </c:pt>
                <c:pt idx="5">
                  <c:v>0.02</c:v>
                </c:pt>
                <c:pt idx="6">
                  <c:v>8.9999999999999993E-3</c:v>
                </c:pt>
                <c:pt idx="7">
                  <c:v>7.0000000000000001E-3</c:v>
                </c:pt>
                <c:pt idx="8">
                  <c:v>2E-3</c:v>
                </c:pt>
                <c:pt idx="9">
                  <c:v>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C9E-4B54-887B-55E9F81235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57345712"/>
        <c:axId val="2057351536"/>
      </c:scatterChart>
      <c:valAx>
        <c:axId val="20573457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N in well [mg/l]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57351536"/>
        <c:crosses val="autoZero"/>
        <c:crossBetween val="midCat"/>
      </c:valAx>
      <c:valAx>
        <c:axId val="2057351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OD 635 nm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5734571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/>
              <a:t>N</a:t>
            </a:r>
            <a:r>
              <a:rPr lang="en-IE" baseline="0"/>
              <a:t> standard</a:t>
            </a:r>
            <a:endParaRPr lang="en-IE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[3]Standards!$E$352</c:f>
              <c:strCache>
                <c:ptCount val="1"/>
                <c:pt idx="0">
                  <c:v>OD at 635nm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intercept val="0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[3]Standards!$D$354:$D$361</c:f>
              <c:numCache>
                <c:formatCode>General</c:formatCode>
                <c:ptCount val="8"/>
                <c:pt idx="0">
                  <c:v>3.2731249999999998</c:v>
                </c:pt>
                <c:pt idx="1">
                  <c:v>1.6365624999999999</c:v>
                </c:pt>
                <c:pt idx="2">
                  <c:v>0.81828124999999996</c:v>
                </c:pt>
                <c:pt idx="3">
                  <c:v>0.40914062499999998</c:v>
                </c:pt>
                <c:pt idx="4">
                  <c:v>0.20457031249999999</c:v>
                </c:pt>
                <c:pt idx="5">
                  <c:v>0.10228515625</c:v>
                </c:pt>
                <c:pt idx="6">
                  <c:v>5.1142578124999998E-2</c:v>
                </c:pt>
                <c:pt idx="7">
                  <c:v>2.5571289062499999E-2</c:v>
                </c:pt>
              </c:numCache>
            </c:numRef>
          </c:xVal>
          <c:yVal>
            <c:numRef>
              <c:f>[3]Standards!$E$354:$E$361</c:f>
              <c:numCache>
                <c:formatCode>General</c:formatCode>
                <c:ptCount val="8"/>
                <c:pt idx="0">
                  <c:v>1.4039999999999999</c:v>
                </c:pt>
                <c:pt idx="1">
                  <c:v>0.70199999999999996</c:v>
                </c:pt>
                <c:pt idx="2">
                  <c:v>0.35499999999999998</c:v>
                </c:pt>
                <c:pt idx="3">
                  <c:v>0.17799999999999999</c:v>
                </c:pt>
                <c:pt idx="4">
                  <c:v>9.1999999999999998E-2</c:v>
                </c:pt>
                <c:pt idx="5">
                  <c:v>4.3999999999999997E-2</c:v>
                </c:pt>
                <c:pt idx="6">
                  <c:v>1.7999999999999999E-2</c:v>
                </c:pt>
                <c:pt idx="7">
                  <c:v>5.0000000000000001E-3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002-4244-BF5F-D328C9FAB2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61957184"/>
        <c:axId val="1861938880"/>
      </c:scatterChart>
      <c:valAx>
        <c:axId val="18619571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N</a:t>
                </a:r>
                <a:r>
                  <a:rPr lang="en-IE" baseline="0"/>
                  <a:t> in well [mg/l]</a:t>
                </a:r>
                <a:endParaRPr lang="en-IE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1938880"/>
        <c:crosses val="autoZero"/>
        <c:crossBetween val="midCat"/>
      </c:valAx>
      <c:valAx>
        <c:axId val="18619388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Absorbance</a:t>
                </a:r>
                <a:r>
                  <a:rPr lang="en-IE" baseline="0"/>
                  <a:t> at 635 nm</a:t>
                </a:r>
                <a:endParaRPr lang="en-IE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195718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07297821125072"/>
          <c:y val="0.14690298646121069"/>
          <c:w val="0.57762070328994664"/>
          <c:h val="0.69402262606681453"/>
        </c:manualLayout>
      </c:layout>
      <c:scatterChart>
        <c:scatterStyle val="lineMarker"/>
        <c:varyColors val="0"/>
        <c:ser>
          <c:idx val="0"/>
          <c:order val="0"/>
          <c:tx>
            <c:strRef>
              <c:f>Figure_5!$T$4</c:f>
              <c:strCache>
                <c:ptCount val="1"/>
                <c:pt idx="0">
                  <c:v>C/N [g/g]</c:v>
                </c:pt>
              </c:strCache>
            </c:strRef>
          </c:tx>
          <c:spPr>
            <a:ln w="22225" cap="rnd">
              <a:solidFill>
                <a:schemeClr val="tx1"/>
              </a:solidFill>
              <a:prstDash val="solid"/>
              <a:round/>
            </a:ln>
            <a:effectLst/>
          </c:spPr>
          <c:marker>
            <c:symbol val="diamond"/>
            <c:size val="8"/>
            <c:spPr>
              <a:solidFill>
                <a:schemeClr val="bg1"/>
              </a:solidFill>
              <a:ln w="25400">
                <a:solidFill>
                  <a:schemeClr val="tx1"/>
                </a:solidFill>
                <a:round/>
              </a:ln>
              <a:effectLst/>
            </c:spPr>
          </c:marker>
          <c:xVal>
            <c:numRef>
              <c:f>Figure_5!$Q$5:$Q$28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xVal>
          <c:yVal>
            <c:numRef>
              <c:f>Figure_5!$T$5:$T$28</c:f>
              <c:numCache>
                <c:formatCode>General</c:formatCode>
                <c:ptCount val="24"/>
                <c:pt idx="0">
                  <c:v>24.469559697596889</c:v>
                </c:pt>
                <c:pt idx="1">
                  <c:v>25.6643253212223</c:v>
                </c:pt>
                <c:pt idx="2">
                  <c:v>26.884649600318308</c:v>
                </c:pt>
                <c:pt idx="3">
                  <c:v>27.548818907590082</c:v>
                </c:pt>
                <c:pt idx="4">
                  <c:v>31.343613543312379</c:v>
                </c:pt>
                <c:pt idx="5">
                  <c:v>35.059955716777623</c:v>
                </c:pt>
                <c:pt idx="6">
                  <c:v>46.965713473449604</c:v>
                </c:pt>
                <c:pt idx="7">
                  <c:v>80.320239406239182</c:v>
                </c:pt>
                <c:pt idx="8">
                  <c:v>115.36808780091195</c:v>
                </c:pt>
                <c:pt idx="9">
                  <c:v>313.88160691654929</c:v>
                </c:pt>
                <c:pt idx="10">
                  <c:v>4421.5944710289314</c:v>
                </c:pt>
                <c:pt idx="11">
                  <c:v>81655.49576677024</c:v>
                </c:pt>
                <c:pt idx="12">
                  <c:v>1173.5928427542058</c:v>
                </c:pt>
                <c:pt idx="13">
                  <c:v>1238.2124359489578</c:v>
                </c:pt>
                <c:pt idx="14">
                  <c:v>1009.00719607202</c:v>
                </c:pt>
                <c:pt idx="15">
                  <c:v>885.10952067669371</c:v>
                </c:pt>
                <c:pt idx="16">
                  <c:v>1002.9662282035224</c:v>
                </c:pt>
                <c:pt idx="17">
                  <c:v>768.67441971328174</c:v>
                </c:pt>
                <c:pt idx="18">
                  <c:v>1001.311206959616</c:v>
                </c:pt>
                <c:pt idx="19">
                  <c:v>2844.3992209802655</c:v>
                </c:pt>
                <c:pt idx="20">
                  <c:v>144.05617392587104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844-4746-B840-56A796F01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86492224"/>
        <c:axId val="312381104"/>
      </c:scatterChart>
      <c:scatterChart>
        <c:scatterStyle val="lineMarker"/>
        <c:varyColors val="0"/>
        <c:ser>
          <c:idx val="2"/>
          <c:order val="1"/>
          <c:tx>
            <c:strRef>
              <c:f>Figure_5!$V$4</c:f>
              <c:strCache>
                <c:ptCount val="1"/>
                <c:pt idx="0">
                  <c:v>PHA [mg/L]</c:v>
                </c:pt>
              </c:strCache>
            </c:strRef>
          </c:tx>
          <c:spPr>
            <a:ln w="22225" cap="rnd">
              <a:solidFill>
                <a:srgbClr val="FF0000"/>
              </a:solidFill>
              <a:prstDash val="sysDash"/>
              <a:round/>
            </a:ln>
            <a:effectLst/>
          </c:spPr>
          <c:marker>
            <c:symbol val="circle"/>
            <c:size val="7"/>
            <c:spPr>
              <a:solidFill>
                <a:schemeClr val="bg1"/>
              </a:solidFill>
              <a:ln w="25400">
                <a:solidFill>
                  <a:srgbClr val="FF0000"/>
                </a:solidFill>
                <a:round/>
              </a:ln>
              <a:effectLst/>
            </c:spPr>
          </c:marker>
          <c:xVal>
            <c:numRef>
              <c:f>Figure_5!$Q$5:$Q$28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xVal>
          <c:yVal>
            <c:numRef>
              <c:f>Figure_5!$V$5:$V$28</c:f>
              <c:numCache>
                <c:formatCode>General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3.596400000000036</c:v>
                </c:pt>
                <c:pt idx="7">
                  <c:v>2.5920000000000027</c:v>
                </c:pt>
                <c:pt idx="8">
                  <c:v>4.3472000000000293</c:v>
                </c:pt>
                <c:pt idx="10">
                  <c:v>5.6816000000000288</c:v>
                </c:pt>
                <c:pt idx="11">
                  <c:v>22.072000000000141</c:v>
                </c:pt>
                <c:pt idx="12">
                  <c:v>69.270999999999916</c:v>
                </c:pt>
                <c:pt idx="13">
                  <c:v>75.784800000000288</c:v>
                </c:pt>
                <c:pt idx="14">
                  <c:v>113.02719999999994</c:v>
                </c:pt>
                <c:pt idx="15">
                  <c:v>132.58680000000044</c:v>
                </c:pt>
                <c:pt idx="16">
                  <c:v>165.50000000000065</c:v>
                </c:pt>
                <c:pt idx="17">
                  <c:v>222.85200000000026</c:v>
                </c:pt>
                <c:pt idx="18">
                  <c:v>265.4148000000003</c:v>
                </c:pt>
                <c:pt idx="19">
                  <c:v>292.03560000000073</c:v>
                </c:pt>
                <c:pt idx="20">
                  <c:v>294.1103999999998</c:v>
                </c:pt>
                <c:pt idx="21">
                  <c:v>303.23599999999948</c:v>
                </c:pt>
                <c:pt idx="22">
                  <c:v>331.18119999999971</c:v>
                </c:pt>
                <c:pt idx="23">
                  <c:v>314.35740000000135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844-4746-B840-56A796F01589}"/>
            </c:ext>
          </c:extLst>
        </c:ser>
        <c:ser>
          <c:idx val="3"/>
          <c:order val="2"/>
          <c:tx>
            <c:strRef>
              <c:f>Figure_5!$W$4</c:f>
              <c:strCache>
                <c:ptCount val="1"/>
                <c:pt idx="0">
                  <c:v>CDW - PHA [mg/L]</c:v>
                </c:pt>
              </c:strCache>
            </c:strRef>
          </c:tx>
          <c:spPr>
            <a:ln w="22225" cap="rnd">
              <a:solidFill>
                <a:srgbClr val="00B0F0"/>
              </a:solidFill>
              <a:prstDash val="sysDash"/>
              <a:round/>
            </a:ln>
            <a:effectLst/>
          </c:spPr>
          <c:marker>
            <c:symbol val="square"/>
            <c:size val="7"/>
            <c:spPr>
              <a:solidFill>
                <a:schemeClr val="bg1"/>
              </a:solidFill>
              <a:ln w="25400">
                <a:solidFill>
                  <a:srgbClr val="00B0F0"/>
                </a:solidFill>
                <a:round/>
              </a:ln>
              <a:effectLst/>
            </c:spPr>
          </c:marker>
          <c:xVal>
            <c:numRef>
              <c:f>Figure_5!$Q$5:$Q$28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xVal>
          <c:yVal>
            <c:numRef>
              <c:f>Figure_5!$W$5:$W$28</c:f>
              <c:numCache>
                <c:formatCode>General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5.9999999999993392</c:v>
                </c:pt>
                <c:pt idx="3">
                  <c:v>5.9999999999993392</c:v>
                </c:pt>
                <c:pt idx="4">
                  <c:v>-7.9999999999991189</c:v>
                </c:pt>
                <c:pt idx="5">
                  <c:v>67.999999999996959</c:v>
                </c:pt>
                <c:pt idx="6">
                  <c:v>144.40360000000143</c:v>
                </c:pt>
                <c:pt idx="7">
                  <c:v>237.40800000000021</c:v>
                </c:pt>
                <c:pt idx="8">
                  <c:v>299.652800000002</c:v>
                </c:pt>
                <c:pt idx="9">
                  <c:v>369.9999999999992</c:v>
                </c:pt>
                <c:pt idx="10">
                  <c:v>418.31840000000216</c:v>
                </c:pt>
                <c:pt idx="11">
                  <c:v>473.92800000000301</c:v>
                </c:pt>
                <c:pt idx="12">
                  <c:v>460.72899999999942</c:v>
                </c:pt>
                <c:pt idx="13">
                  <c:v>470.21520000000174</c:v>
                </c:pt>
                <c:pt idx="14">
                  <c:v>494.97279999999972</c:v>
                </c:pt>
                <c:pt idx="15">
                  <c:v>493.41320000000172</c:v>
                </c:pt>
                <c:pt idx="16">
                  <c:v>496.50000000000193</c:v>
                </c:pt>
                <c:pt idx="17">
                  <c:v>535.14800000000059</c:v>
                </c:pt>
                <c:pt idx="18">
                  <c:v>532.58520000000067</c:v>
                </c:pt>
                <c:pt idx="19">
                  <c:v>535.96440000000132</c:v>
                </c:pt>
                <c:pt idx="20">
                  <c:v>557.88959999999963</c:v>
                </c:pt>
                <c:pt idx="21">
                  <c:v>556.76399999999899</c:v>
                </c:pt>
                <c:pt idx="22">
                  <c:v>522.81879999999956</c:v>
                </c:pt>
                <c:pt idx="23">
                  <c:v>539.64260000000229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844-4746-B840-56A796F01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5330912"/>
        <c:axId val="375338112"/>
      </c:scatterChart>
      <c:valAx>
        <c:axId val="286492224"/>
        <c:scaling>
          <c:orientation val="minMax"/>
          <c:max val="25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0" i="0" u="none" strike="noStrike" kern="1200" cap="none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Time [h]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0" i="0" u="none" strike="noStrike" kern="1200" cap="none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cross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cap="none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12381104"/>
        <c:crosses val="autoZero"/>
        <c:crossBetween val="midCat"/>
      </c:valAx>
      <c:valAx>
        <c:axId val="312381104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600" b="0" i="0" u="none" strike="noStrike" kern="1200" cap="none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C/N ratio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600" b="0" i="0" u="none" strike="noStrike" kern="1200" cap="none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cross"/>
        <c:minorTickMark val="in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cap="none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86492224"/>
        <c:crosses val="autoZero"/>
        <c:crossBetween val="midCat"/>
      </c:valAx>
      <c:valAx>
        <c:axId val="375338112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600" b="0" i="0" u="none" strike="noStrike" kern="1200" cap="none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CDW and PHA [mg/L]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600" b="0" i="0" u="none" strike="noStrike" kern="1200" cap="none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cross"/>
        <c:minorTickMark val="in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cap="none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5330912"/>
        <c:crosses val="max"/>
        <c:crossBetween val="midCat"/>
        <c:majorUnit val="200"/>
      </c:valAx>
      <c:valAx>
        <c:axId val="3753309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75338112"/>
        <c:crosses val="autoZero"/>
        <c:crossBetween val="midCat"/>
      </c:valAx>
      <c:spPr>
        <a:noFill/>
        <a:ln>
          <a:solidFill>
            <a:schemeClr val="tx1"/>
          </a:solidFill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cap="none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noFill/>
      <a:round/>
    </a:ln>
    <a:effectLst/>
  </c:spPr>
  <c:txPr>
    <a:bodyPr/>
    <a:lstStyle/>
    <a:p>
      <a:pPr>
        <a:defRPr sz="1600" b="0" cap="none" baseline="0"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3/03/2023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[3]Standards!$D$377</c:f>
              <c:strCache>
                <c:ptCount val="1"/>
                <c:pt idx="0">
                  <c:v>OD at 635nm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intercept val="0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[3]Standards!$C$409:$C$416</c:f>
              <c:numCache>
                <c:formatCode>General</c:formatCode>
                <c:ptCount val="8"/>
                <c:pt idx="0">
                  <c:v>4.0914062500000004</c:v>
                </c:pt>
                <c:pt idx="1">
                  <c:v>2.0457031250000002</c:v>
                </c:pt>
                <c:pt idx="2">
                  <c:v>1.0228515625000001</c:v>
                </c:pt>
                <c:pt idx="3">
                  <c:v>0.51142578125000004</c:v>
                </c:pt>
                <c:pt idx="4">
                  <c:v>0.25571289062500002</c:v>
                </c:pt>
                <c:pt idx="5">
                  <c:v>0.12785644531250001</c:v>
                </c:pt>
                <c:pt idx="6">
                  <c:v>6.3928222656250006E-2</c:v>
                </c:pt>
                <c:pt idx="7">
                  <c:v>3.1964111328125003E-2</c:v>
                </c:pt>
              </c:numCache>
            </c:numRef>
          </c:xVal>
          <c:yVal>
            <c:numRef>
              <c:f>[3]Standards!$D$409:$D$416</c:f>
              <c:numCache>
                <c:formatCode>General</c:formatCode>
                <c:ptCount val="8"/>
                <c:pt idx="0">
                  <c:v>1.921666667</c:v>
                </c:pt>
                <c:pt idx="1">
                  <c:v>1.032666667</c:v>
                </c:pt>
                <c:pt idx="2">
                  <c:v>0.53866666699999999</c:v>
                </c:pt>
                <c:pt idx="3">
                  <c:v>0.27266666700000003</c:v>
                </c:pt>
                <c:pt idx="4">
                  <c:v>0.13266666700000002</c:v>
                </c:pt>
                <c:pt idx="5">
                  <c:v>6.366666700000001E-2</c:v>
                </c:pt>
                <c:pt idx="6">
                  <c:v>2.7666667000000006E-2</c:v>
                </c:pt>
                <c:pt idx="7">
                  <c:v>1.2666667000000006E-2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0AB-4CBA-8557-ED4154D70B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9343007"/>
        <c:axId val="589347167"/>
      </c:scatterChart>
      <c:valAx>
        <c:axId val="58934300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N</a:t>
                </a:r>
                <a:r>
                  <a:rPr lang="en-IE" baseline="0"/>
                  <a:t> in well [mg/l]</a:t>
                </a:r>
                <a:endParaRPr lang="en-IE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9347167"/>
        <c:crosses val="autoZero"/>
        <c:crossBetween val="midCat"/>
      </c:valAx>
      <c:valAx>
        <c:axId val="5893471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Absorbance</a:t>
                </a:r>
                <a:r>
                  <a:rPr lang="en-IE" baseline="0"/>
                  <a:t> at 635 nm</a:t>
                </a:r>
                <a:endParaRPr lang="en-IE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9343007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BA-Na standard</a:t>
            </a:r>
            <a:r>
              <a:rPr lang="en-US" baseline="0"/>
              <a:t> 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'[1]Feb_TA,BA,CF6'!$C$5</c:f>
              <c:strCache>
                <c:ptCount val="1"/>
                <c:pt idx="0">
                  <c:v>Peak area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intercept val="0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'[1]Feb_TA,BA,CF6'!$B$8:$B$15</c:f>
              <c:numCache>
                <c:formatCode>General</c:formatCode>
                <c:ptCount val="8"/>
                <c:pt idx="0">
                  <c:v>25</c:v>
                </c:pt>
                <c:pt idx="1">
                  <c:v>12.5</c:v>
                </c:pt>
                <c:pt idx="2">
                  <c:v>6.25</c:v>
                </c:pt>
                <c:pt idx="3">
                  <c:v>3.125</c:v>
                </c:pt>
                <c:pt idx="4">
                  <c:v>1.5625</c:v>
                </c:pt>
                <c:pt idx="5">
                  <c:v>0.78125</c:v>
                </c:pt>
                <c:pt idx="6">
                  <c:v>0.390625</c:v>
                </c:pt>
                <c:pt idx="7">
                  <c:v>0.1953125</c:v>
                </c:pt>
              </c:numCache>
            </c:numRef>
          </c:xVal>
          <c:yVal>
            <c:numRef>
              <c:f>'[1]Feb_TA,BA,CF6'!$C$8:$C$15</c:f>
              <c:numCache>
                <c:formatCode>General</c:formatCode>
                <c:ptCount val="8"/>
                <c:pt idx="0">
                  <c:v>15972.812</c:v>
                </c:pt>
                <c:pt idx="1">
                  <c:v>8583.5589999999993</c:v>
                </c:pt>
                <c:pt idx="2">
                  <c:v>4404.5919999999996</c:v>
                </c:pt>
                <c:pt idx="3">
                  <c:v>2238.1509999999998</c:v>
                </c:pt>
                <c:pt idx="4">
                  <c:v>1133.5630000000001</c:v>
                </c:pt>
                <c:pt idx="5">
                  <c:v>574.73599999999999</c:v>
                </c:pt>
                <c:pt idx="6">
                  <c:v>291.07600000000002</c:v>
                </c:pt>
                <c:pt idx="7">
                  <c:v>149.191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62D-43A2-8D9D-0FF094EE17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88980960"/>
        <c:axId val="1888974720"/>
      </c:scatterChart>
      <c:valAx>
        <c:axId val="18889809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BA-Na [mM]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8974720"/>
        <c:crosses val="autoZero"/>
        <c:crossBetween val="midCat"/>
      </c:valAx>
      <c:valAx>
        <c:axId val="18889747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/>
                  <a:t>Peak</a:t>
                </a:r>
                <a:r>
                  <a:rPr lang="en-IE" baseline="0"/>
                  <a:t> area</a:t>
                </a:r>
                <a:endParaRPr lang="en-IE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898096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314325</xdr:colOff>
      <xdr:row>4</xdr:row>
      <xdr:rowOff>180975</xdr:rowOff>
    </xdr:from>
    <xdr:to>
      <xdr:col>22</xdr:col>
      <xdr:colOff>9525</xdr:colOff>
      <xdr:row>19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5D27A6ED-C777-457C-9702-82B14438E8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33</xdr:col>
      <xdr:colOff>57150</xdr:colOff>
      <xdr:row>10</xdr:row>
      <xdr:rowOff>114300</xdr:rowOff>
    </xdr:from>
    <xdr:to>
      <xdr:col>40</xdr:col>
      <xdr:colOff>361950</xdr:colOff>
      <xdr:row>25</xdr:row>
      <xdr:rowOff>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6C6669E-8CD8-4D19-9CE8-4B00C06AA0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485775</xdr:colOff>
      <xdr:row>53</xdr:row>
      <xdr:rowOff>28575</xdr:rowOff>
    </xdr:from>
    <xdr:to>
      <xdr:col>15</xdr:col>
      <xdr:colOff>180975</xdr:colOff>
      <xdr:row>67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5A76158-C3F0-47F5-9F38-0932D5FA1B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323850</xdr:colOff>
      <xdr:row>76</xdr:row>
      <xdr:rowOff>161925</xdr:rowOff>
    </xdr:from>
    <xdr:to>
      <xdr:col>17</xdr:col>
      <xdr:colOff>161925</xdr:colOff>
      <xdr:row>93</xdr:row>
      <xdr:rowOff>66675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66DDE1E-C635-48E0-9BDB-059DF372AE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605896</xdr:colOff>
      <xdr:row>33</xdr:row>
      <xdr:rowOff>30956</xdr:rowOff>
    </xdr:from>
    <xdr:to>
      <xdr:col>28</xdr:col>
      <xdr:colOff>48418</xdr:colOff>
      <xdr:row>60</xdr:row>
      <xdr:rowOff>54240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0EBB55E-BB06-4424-9E67-CB6355BC7B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485775</xdr:colOff>
      <xdr:row>40</xdr:row>
      <xdr:rowOff>190499</xdr:rowOff>
    </xdr:from>
    <xdr:to>
      <xdr:col>14</xdr:col>
      <xdr:colOff>552450</xdr:colOff>
      <xdr:row>57</xdr:row>
      <xdr:rowOff>66674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FE11EE5-DA59-4637-93BB-FB50896D9D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381000</xdr:colOff>
      <xdr:row>7</xdr:row>
      <xdr:rowOff>19050</xdr:rowOff>
    </xdr:from>
    <xdr:to>
      <xdr:col>12</xdr:col>
      <xdr:colOff>76200</xdr:colOff>
      <xdr:row>21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E868949-BB66-484A-B04C-1526964883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A:\DATA\ANALYTICS\CarbonAssays\C_HPLC_2023_JanFebMarAprMay.xlsx" TargetMode="External"/><Relationship Id="rId1" Type="http://schemas.openxmlformats.org/officeDocument/2006/relationships/externalLinkPath" Target="/DATA/ANALYTICS/CarbonAssays/C_HPLC_2023_JanFebMarAprMay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A:\DATA\ANALYTICS\CarbonAssays\C_HPLC_2022_JulyAugSepDec.xlsx" TargetMode="External"/><Relationship Id="rId1" Type="http://schemas.openxmlformats.org/officeDocument/2006/relationships/externalLinkPath" Target="/DATA/ANALYTICS/CarbonAssays/C_HPLC_2022_JulyAugSepDec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A:\DATA\ANALYTICS\NitrogenAssays\NitrogenAssays.xlsx" TargetMode="External"/><Relationship Id="rId1" Type="http://schemas.openxmlformats.org/officeDocument/2006/relationships/externalLinkPath" Target="/DATA/ANALYTICS/NitrogenAssays/NitrogenAssay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CD"/>
      <sheetName val="FB1FB2FB3FB4FB5FB6"/>
      <sheetName val="Mar_G45_F26"/>
      <sheetName val="Feb_TA,BA,CF6"/>
      <sheetName val="Jan_F24F25"/>
      <sheetName val="Jan_TA,BA,CF7"/>
      <sheetName val="Jan_AA_BDO"/>
    </sheetNames>
    <sheetDataSet>
      <sheetData sheetId="0"/>
      <sheetData sheetId="1"/>
      <sheetData sheetId="2"/>
      <sheetData sheetId="3">
        <row r="5">
          <cell r="C5" t="str">
            <v>Peak area</v>
          </cell>
        </row>
        <row r="8">
          <cell r="B8">
            <v>25</v>
          </cell>
          <cell r="C8">
            <v>15972.812</v>
          </cell>
        </row>
        <row r="9">
          <cell r="B9">
            <v>12.5</v>
          </cell>
          <cell r="C9">
            <v>8583.5589999999993</v>
          </cell>
        </row>
        <row r="10">
          <cell r="B10">
            <v>6.25</v>
          </cell>
          <cell r="C10">
            <v>4404.5919999999996</v>
          </cell>
        </row>
        <row r="11">
          <cell r="B11">
            <v>3.125</v>
          </cell>
          <cell r="C11">
            <v>2238.1509999999998</v>
          </cell>
        </row>
        <row r="12">
          <cell r="B12">
            <v>1.5625</v>
          </cell>
          <cell r="C12">
            <v>1133.5630000000001</v>
          </cell>
        </row>
        <row r="13">
          <cell r="B13">
            <v>0.78125</v>
          </cell>
          <cell r="C13">
            <v>574.73599999999999</v>
          </cell>
        </row>
        <row r="14">
          <cell r="B14">
            <v>0.390625</v>
          </cell>
          <cell r="C14">
            <v>291.07600000000002</v>
          </cell>
        </row>
        <row r="15">
          <cell r="B15">
            <v>0.1953125</v>
          </cell>
          <cell r="C15">
            <v>149.191</v>
          </cell>
        </row>
      </sheetData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F6"/>
      <sheetName val="8Oct_F22 F23"/>
      <sheetName val="NovDec_F22F23G42G44"/>
      <sheetName val="NovDec_CF7"/>
    </sheetNames>
    <sheetDataSet>
      <sheetData sheetId="0">
        <row r="5">
          <cell r="C5" t="str">
            <v>Peak area</v>
          </cell>
        </row>
        <row r="8">
          <cell r="B8">
            <v>25</v>
          </cell>
          <cell r="C8">
            <v>16300.025</v>
          </cell>
        </row>
        <row r="9">
          <cell r="B9">
            <v>12.5</v>
          </cell>
          <cell r="C9">
            <v>8866.6119999999992</v>
          </cell>
        </row>
        <row r="10">
          <cell r="B10">
            <v>6.25</v>
          </cell>
          <cell r="C10">
            <v>4564.4179999999997</v>
          </cell>
        </row>
        <row r="11">
          <cell r="B11">
            <v>3.125</v>
          </cell>
          <cell r="C11">
            <v>2088.7979999999998</v>
          </cell>
        </row>
        <row r="12">
          <cell r="B12">
            <v>1.5625</v>
          </cell>
          <cell r="C12">
            <v>1179.6579999999999</v>
          </cell>
        </row>
        <row r="13">
          <cell r="B13">
            <v>0.78125</v>
          </cell>
          <cell r="C13">
            <v>595.29700000000003</v>
          </cell>
        </row>
        <row r="14">
          <cell r="B14">
            <v>0.390625</v>
          </cell>
          <cell r="C14">
            <v>293.601</v>
          </cell>
        </row>
        <row r="15">
          <cell r="B15">
            <v>0.1953125</v>
          </cell>
          <cell r="C15">
            <v>146.61199999999999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td"/>
      <sheetName val="Sheet2"/>
      <sheetName val="Std (2)"/>
      <sheetName val="Standards"/>
      <sheetName val="Fermentations"/>
      <sheetName val="GA"/>
      <sheetName val="TCD"/>
    </sheetNames>
    <sheetDataSet>
      <sheetData sheetId="0"/>
      <sheetData sheetId="1"/>
      <sheetData sheetId="2"/>
      <sheetData sheetId="3">
        <row r="315">
          <cell r="E315" t="str">
            <v>OD at 635nm</v>
          </cell>
        </row>
        <row r="316">
          <cell r="D316">
            <v>1.30925</v>
          </cell>
          <cell r="E316">
            <v>0.53500000000000003</v>
          </cell>
        </row>
        <row r="317">
          <cell r="D317">
            <v>0.65462500000000001</v>
          </cell>
          <cell r="E317">
            <v>0.27300000000000002</v>
          </cell>
        </row>
        <row r="318">
          <cell r="D318">
            <v>0.32731250000000001</v>
          </cell>
          <cell r="E318">
            <v>0.13600000000000001</v>
          </cell>
        </row>
        <row r="319">
          <cell r="D319">
            <v>0.16365625</v>
          </cell>
          <cell r="E319">
            <v>7.0000000000000007E-2</v>
          </cell>
        </row>
        <row r="320">
          <cell r="D320">
            <v>8.1828125000000002E-2</v>
          </cell>
          <cell r="E320">
            <v>2.9000000000000001E-2</v>
          </cell>
        </row>
        <row r="321">
          <cell r="D321">
            <v>4.0914062500000001E-2</v>
          </cell>
          <cell r="E321">
            <v>0.02</v>
          </cell>
        </row>
        <row r="322">
          <cell r="D322">
            <v>2.045703125E-2</v>
          </cell>
          <cell r="E322">
            <v>8.9999999999999993E-3</v>
          </cell>
        </row>
        <row r="323">
          <cell r="D323">
            <v>1.0228515625E-2</v>
          </cell>
          <cell r="E323">
            <v>7.0000000000000001E-3</v>
          </cell>
        </row>
        <row r="324">
          <cell r="D324">
            <v>5.1142578125000001E-3</v>
          </cell>
          <cell r="E324">
            <v>2E-3</v>
          </cell>
        </row>
        <row r="325">
          <cell r="D325">
            <v>2.55712890625E-3</v>
          </cell>
          <cell r="E325">
            <v>1E-3</v>
          </cell>
        </row>
        <row r="352">
          <cell r="E352" t="str">
            <v>OD at 635nm</v>
          </cell>
        </row>
        <row r="354">
          <cell r="D354">
            <v>3.2731249999999998</v>
          </cell>
          <cell r="E354">
            <v>1.4039999999999999</v>
          </cell>
        </row>
        <row r="355">
          <cell r="D355">
            <v>1.6365624999999999</v>
          </cell>
          <cell r="E355">
            <v>0.70199999999999996</v>
          </cell>
        </row>
        <row r="356">
          <cell r="D356">
            <v>0.81828124999999996</v>
          </cell>
          <cell r="E356">
            <v>0.35499999999999998</v>
          </cell>
        </row>
        <row r="357">
          <cell r="D357">
            <v>0.40914062499999998</v>
          </cell>
          <cell r="E357">
            <v>0.17799999999999999</v>
          </cell>
        </row>
        <row r="358">
          <cell r="D358">
            <v>0.20457031249999999</v>
          </cell>
          <cell r="E358">
            <v>9.1999999999999998E-2</v>
          </cell>
        </row>
        <row r="359">
          <cell r="D359">
            <v>0.10228515625</v>
          </cell>
          <cell r="E359">
            <v>4.3999999999999997E-2</v>
          </cell>
        </row>
        <row r="360">
          <cell r="D360">
            <v>5.1142578124999998E-2</v>
          </cell>
          <cell r="E360">
            <v>1.7999999999999999E-2</v>
          </cell>
        </row>
        <row r="361">
          <cell r="D361">
            <v>2.5571289062499999E-2</v>
          </cell>
          <cell r="E361">
            <v>5.0000000000000001E-3</v>
          </cell>
        </row>
        <row r="377">
          <cell r="D377" t="str">
            <v>OD at 635nm</v>
          </cell>
        </row>
        <row r="409">
          <cell r="C409">
            <v>4.0914062500000004</v>
          </cell>
          <cell r="D409">
            <v>1.921666667</v>
          </cell>
        </row>
        <row r="410">
          <cell r="C410">
            <v>2.0457031250000002</v>
          </cell>
          <cell r="D410">
            <v>1.032666667</v>
          </cell>
        </row>
        <row r="411">
          <cell r="C411">
            <v>1.0228515625000001</v>
          </cell>
          <cell r="D411">
            <v>0.53866666699999999</v>
          </cell>
        </row>
        <row r="412">
          <cell r="C412">
            <v>0.51142578125000004</v>
          </cell>
          <cell r="D412">
            <v>0.27266666700000003</v>
          </cell>
        </row>
        <row r="413">
          <cell r="C413">
            <v>0.25571289062500002</v>
          </cell>
          <cell r="D413">
            <v>0.13266666700000002</v>
          </cell>
        </row>
        <row r="414">
          <cell r="C414">
            <v>0.12785644531250001</v>
          </cell>
          <cell r="D414">
            <v>6.366666700000001E-2</v>
          </cell>
        </row>
        <row r="415">
          <cell r="C415">
            <v>6.3928222656250006E-2</v>
          </cell>
          <cell r="D415">
            <v>2.7666667000000006E-2</v>
          </cell>
        </row>
        <row r="416">
          <cell r="C416">
            <v>3.1964111328125003E-2</v>
          </cell>
          <cell r="D416">
            <v>1.2666667000000006E-2</v>
          </cell>
        </row>
      </sheetData>
      <sheetData sheetId="4">
        <row r="4">
          <cell r="DG4" t="str">
            <v>N [mg/l]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42DC82-8D25-471E-831A-6FF3C9DE6B03}">
  <dimension ref="A1:AH106"/>
  <sheetViews>
    <sheetView topLeftCell="G1" workbookViewId="0">
      <selection activeCell="N60" sqref="N60"/>
    </sheetView>
  </sheetViews>
  <sheetFormatPr defaultRowHeight="15" x14ac:dyDescent="0.25"/>
  <cols>
    <col min="1" max="1" width="13.5703125" customWidth="1"/>
  </cols>
  <sheetData>
    <row r="1" spans="1:29" x14ac:dyDescent="0.25">
      <c r="A1" s="66" t="s">
        <v>72</v>
      </c>
      <c r="B1" s="66"/>
      <c r="C1" s="66"/>
    </row>
    <row r="2" spans="1:29" x14ac:dyDescent="0.25">
      <c r="A2" s="2" t="s">
        <v>73</v>
      </c>
      <c r="B2" t="s">
        <v>74</v>
      </c>
      <c r="T2" s="2"/>
      <c r="U2" s="2"/>
      <c r="V2" s="2"/>
      <c r="W2" s="2"/>
      <c r="X2" s="2"/>
      <c r="Y2" s="2"/>
      <c r="Z2" s="2"/>
      <c r="AA2" s="2"/>
      <c r="AC2" s="2" t="s">
        <v>100</v>
      </c>
    </row>
    <row r="3" spans="1:29" x14ac:dyDescent="0.25">
      <c r="A3" s="2" t="s">
        <v>75</v>
      </c>
      <c r="B3" t="s">
        <v>88</v>
      </c>
      <c r="T3" s="2"/>
      <c r="U3" s="2"/>
      <c r="V3" s="2"/>
      <c r="W3" s="2"/>
      <c r="X3" s="2"/>
      <c r="Y3" s="2"/>
      <c r="Z3" s="2"/>
      <c r="AA3" s="2"/>
    </row>
    <row r="4" spans="1:29" x14ac:dyDescent="0.25">
      <c r="A4" s="2" t="s">
        <v>76</v>
      </c>
      <c r="B4" t="s">
        <v>77</v>
      </c>
      <c r="T4" s="2"/>
      <c r="U4" s="2"/>
      <c r="V4" s="2"/>
      <c r="W4" s="2"/>
      <c r="X4" s="2"/>
      <c r="Y4" s="2"/>
      <c r="Z4" s="2"/>
      <c r="AA4" s="2"/>
    </row>
    <row r="5" spans="1:29" x14ac:dyDescent="0.25">
      <c r="A5" s="2" t="s">
        <v>78</v>
      </c>
      <c r="B5" t="s">
        <v>79</v>
      </c>
      <c r="T5" s="2"/>
      <c r="U5" s="2"/>
      <c r="V5" s="2"/>
      <c r="W5" s="2"/>
      <c r="X5" s="2"/>
      <c r="Y5" s="2"/>
      <c r="Z5" s="2"/>
      <c r="AA5" s="2"/>
    </row>
    <row r="6" spans="1:29" x14ac:dyDescent="0.25">
      <c r="A6" s="2" t="s">
        <v>80</v>
      </c>
      <c r="B6" t="s">
        <v>81</v>
      </c>
      <c r="T6" s="2"/>
      <c r="U6" s="2"/>
      <c r="V6" s="2"/>
      <c r="W6" s="2"/>
      <c r="X6" s="2"/>
      <c r="Y6" s="2"/>
      <c r="Z6" s="2"/>
      <c r="AA6" s="2"/>
    </row>
    <row r="7" spans="1:29" x14ac:dyDescent="0.25">
      <c r="A7" s="2" t="s">
        <v>82</v>
      </c>
      <c r="B7" t="s">
        <v>83</v>
      </c>
      <c r="T7" s="2"/>
      <c r="U7" s="2"/>
      <c r="V7" s="2"/>
      <c r="W7" s="2"/>
      <c r="X7" s="2"/>
      <c r="Y7" s="2"/>
      <c r="Z7" s="2"/>
      <c r="AA7" s="2"/>
    </row>
    <row r="8" spans="1:29" x14ac:dyDescent="0.25">
      <c r="T8" s="2"/>
      <c r="U8" s="2"/>
      <c r="V8" s="2"/>
      <c r="W8" s="2"/>
      <c r="X8" s="2"/>
      <c r="Y8" s="2"/>
      <c r="Z8" s="2"/>
      <c r="AA8" s="2"/>
    </row>
    <row r="9" spans="1:29" x14ac:dyDescent="0.25">
      <c r="T9" s="2"/>
      <c r="U9" s="2"/>
      <c r="V9" s="2"/>
      <c r="W9" s="2"/>
      <c r="X9" s="2"/>
      <c r="Y9" s="2"/>
      <c r="Z9" s="2"/>
      <c r="AA9" s="2"/>
    </row>
    <row r="10" spans="1:29" x14ac:dyDescent="0.25">
      <c r="D10" s="5"/>
      <c r="T10" s="2"/>
      <c r="U10" s="2"/>
      <c r="V10" s="2"/>
      <c r="W10" s="2"/>
      <c r="X10" s="2"/>
      <c r="Y10" s="2"/>
      <c r="Z10" s="2"/>
      <c r="AA10" s="2"/>
    </row>
    <row r="11" spans="1:29" x14ac:dyDescent="0.25">
      <c r="D11" s="5"/>
      <c r="T11" s="2"/>
      <c r="U11" s="2"/>
      <c r="V11" s="2"/>
      <c r="W11" s="2"/>
      <c r="X11" s="2"/>
      <c r="Y11" s="2"/>
      <c r="Z11" s="2"/>
      <c r="AA11" s="2"/>
    </row>
    <row r="12" spans="1:29" x14ac:dyDescent="0.25">
      <c r="D12" s="5"/>
      <c r="T12" s="2"/>
      <c r="U12" s="2"/>
      <c r="V12" s="2"/>
      <c r="W12" s="2"/>
      <c r="X12" s="2"/>
      <c r="Y12" s="2"/>
      <c r="Z12" s="2"/>
      <c r="AA12" s="2"/>
    </row>
    <row r="13" spans="1:29" x14ac:dyDescent="0.25">
      <c r="D13" s="5"/>
      <c r="T13" s="2"/>
      <c r="U13" s="2"/>
      <c r="V13" s="2"/>
      <c r="W13" s="2"/>
      <c r="X13" s="2"/>
      <c r="Y13" s="2"/>
      <c r="Z13" s="2"/>
      <c r="AA13" s="2"/>
    </row>
    <row r="14" spans="1:29" x14ac:dyDescent="0.25">
      <c r="C14" s="66" t="s">
        <v>106</v>
      </c>
      <c r="D14" s="66"/>
      <c r="E14" s="66"/>
      <c r="F14" s="66"/>
      <c r="G14" s="66"/>
      <c r="O14" s="2" t="s">
        <v>107</v>
      </c>
      <c r="T14" s="2"/>
      <c r="U14" s="2"/>
      <c r="V14" s="2"/>
      <c r="W14" s="2"/>
      <c r="X14" s="2"/>
      <c r="Y14" s="2"/>
      <c r="Z14" s="2"/>
      <c r="AA14" s="2"/>
    </row>
    <row r="15" spans="1:29" x14ac:dyDescent="0.25">
      <c r="C15" s="2" t="s">
        <v>84</v>
      </c>
      <c r="D15" s="2" t="s">
        <v>85</v>
      </c>
      <c r="E15" s="2" t="s">
        <v>86</v>
      </c>
      <c r="F15" s="2" t="s">
        <v>87</v>
      </c>
      <c r="G15" s="2" t="s">
        <v>98</v>
      </c>
      <c r="H15" s="2"/>
      <c r="I15" s="2"/>
      <c r="O15" s="2" t="s">
        <v>84</v>
      </c>
      <c r="P15" s="2" t="s">
        <v>89</v>
      </c>
      <c r="Q15" s="2" t="s">
        <v>101</v>
      </c>
      <c r="R15" s="2" t="s">
        <v>102</v>
      </c>
      <c r="S15" s="2" t="s">
        <v>103</v>
      </c>
      <c r="T15" s="2" t="s">
        <v>108</v>
      </c>
      <c r="U15" s="2" t="s">
        <v>93</v>
      </c>
      <c r="V15" s="2" t="s">
        <v>104</v>
      </c>
      <c r="W15" s="2" t="s">
        <v>105</v>
      </c>
      <c r="X15" s="2" t="s">
        <v>94</v>
      </c>
      <c r="Y15" s="2"/>
      <c r="Z15" s="2"/>
      <c r="AA15" s="2"/>
    </row>
    <row r="16" spans="1:29" x14ac:dyDescent="0.25">
      <c r="C16">
        <v>0</v>
      </c>
      <c r="H16" s="3"/>
      <c r="O16">
        <v>-1</v>
      </c>
      <c r="T16" t="e">
        <f>R16/S16</f>
        <v>#DIV/0!</v>
      </c>
      <c r="Y16" s="2"/>
      <c r="Z16" s="2"/>
      <c r="AA16" s="2"/>
    </row>
    <row r="17" spans="3:27" x14ac:dyDescent="0.25">
      <c r="C17" s="6">
        <v>24</v>
      </c>
      <c r="D17" s="7">
        <f t="shared" ref="D17:D80" si="0">C17/24</f>
        <v>1</v>
      </c>
      <c r="E17" s="3">
        <v>5.63</v>
      </c>
      <c r="F17" s="8">
        <v>0.2</v>
      </c>
      <c r="G17">
        <v>10</v>
      </c>
      <c r="O17">
        <v>0</v>
      </c>
      <c r="T17" t="e">
        <f t="shared" ref="T17:T42" si="1">R17/S17</f>
        <v>#DIV/0!</v>
      </c>
      <c r="Y17" s="2"/>
      <c r="Z17" s="2"/>
      <c r="AA17" s="2"/>
    </row>
    <row r="18" spans="3:27" x14ac:dyDescent="0.25">
      <c r="C18" s="6">
        <v>48</v>
      </c>
      <c r="D18" s="7">
        <f t="shared" si="0"/>
        <v>2</v>
      </c>
      <c r="E18" s="3">
        <v>7.48</v>
      </c>
      <c r="F18" s="8">
        <v>0.2</v>
      </c>
      <c r="G18">
        <v>10</v>
      </c>
      <c r="O18">
        <v>1</v>
      </c>
      <c r="T18" t="e">
        <f t="shared" si="1"/>
        <v>#DIV/0!</v>
      </c>
      <c r="Y18" s="2"/>
      <c r="Z18" s="2"/>
      <c r="AA18" s="2"/>
    </row>
    <row r="19" spans="3:27" x14ac:dyDescent="0.25">
      <c r="C19" s="6">
        <v>79</v>
      </c>
      <c r="D19" s="7">
        <f t="shared" si="0"/>
        <v>3.2916666666666665</v>
      </c>
      <c r="E19" s="3">
        <v>6.09</v>
      </c>
      <c r="F19" s="8">
        <v>0.2</v>
      </c>
      <c r="G19">
        <v>10</v>
      </c>
      <c r="O19">
        <v>2</v>
      </c>
      <c r="T19" t="e">
        <f t="shared" si="1"/>
        <v>#DIV/0!</v>
      </c>
      <c r="Y19" s="2"/>
      <c r="Z19" s="2"/>
      <c r="AA19" s="2"/>
    </row>
    <row r="20" spans="3:27" x14ac:dyDescent="0.25">
      <c r="C20" s="6">
        <v>99</v>
      </c>
      <c r="D20" s="7">
        <f t="shared" si="0"/>
        <v>4.125</v>
      </c>
      <c r="E20" s="3">
        <v>6.78</v>
      </c>
      <c r="F20" s="8">
        <v>0.2</v>
      </c>
      <c r="G20">
        <v>10</v>
      </c>
      <c r="O20">
        <v>3</v>
      </c>
      <c r="T20" t="e">
        <f t="shared" si="1"/>
        <v>#DIV/0!</v>
      </c>
      <c r="Y20" s="2"/>
      <c r="Z20" s="2"/>
      <c r="AA20" s="2"/>
    </row>
    <row r="21" spans="3:27" x14ac:dyDescent="0.25">
      <c r="C21" s="6">
        <v>122</v>
      </c>
      <c r="D21" s="7">
        <f t="shared" si="0"/>
        <v>5.083333333333333</v>
      </c>
      <c r="E21" s="3">
        <v>4.83</v>
      </c>
      <c r="F21" s="8">
        <v>0.2</v>
      </c>
      <c r="G21">
        <v>10</v>
      </c>
      <c r="O21">
        <v>5</v>
      </c>
      <c r="T21" t="e">
        <f t="shared" si="1"/>
        <v>#DIV/0!</v>
      </c>
      <c r="Y21" s="2"/>
      <c r="Z21" s="2"/>
      <c r="AA21" s="2"/>
    </row>
    <row r="22" spans="3:27" x14ac:dyDescent="0.25">
      <c r="C22" s="6">
        <v>144</v>
      </c>
      <c r="D22" s="7">
        <f t="shared" si="0"/>
        <v>6</v>
      </c>
      <c r="E22" s="3">
        <v>4.05</v>
      </c>
      <c r="F22" s="8">
        <v>0.2</v>
      </c>
      <c r="G22">
        <v>10</v>
      </c>
      <c r="O22">
        <v>8</v>
      </c>
      <c r="T22" t="e">
        <f t="shared" si="1"/>
        <v>#DIV/0!</v>
      </c>
      <c r="Y22" s="2"/>
      <c r="Z22" s="2"/>
      <c r="AA22" s="2"/>
    </row>
    <row r="23" spans="3:27" x14ac:dyDescent="0.25">
      <c r="C23" s="6">
        <v>169</v>
      </c>
      <c r="D23" s="7">
        <f t="shared" si="0"/>
        <v>7.041666666666667</v>
      </c>
      <c r="E23" s="3">
        <v>4.6500000000000004</v>
      </c>
      <c r="F23" s="8">
        <v>0.2</v>
      </c>
      <c r="G23">
        <v>10</v>
      </c>
      <c r="O23">
        <v>24</v>
      </c>
      <c r="P23" s="3">
        <v>0</v>
      </c>
      <c r="Q23" s="3">
        <f t="shared" ref="Q23:Q42" si="2">P23*0.144105</f>
        <v>0</v>
      </c>
      <c r="R23" s="3">
        <f t="shared" ref="R23:R42" si="3">Q23*0.583443</f>
        <v>0</v>
      </c>
      <c r="S23" s="3">
        <v>1.1574352000890495</v>
      </c>
      <c r="T23" s="3">
        <f t="shared" si="1"/>
        <v>0</v>
      </c>
      <c r="U23" s="3">
        <v>1.3705882352941103</v>
      </c>
      <c r="V23" s="3">
        <f>1000*U23</f>
        <v>1370.5882352941103</v>
      </c>
      <c r="W23" s="3">
        <v>0</v>
      </c>
      <c r="X23" s="3">
        <f t="shared" ref="X23:X42" si="4">V23*(W23/100)</f>
        <v>0</v>
      </c>
      <c r="Y23" s="2"/>
      <c r="Z23" s="2"/>
      <c r="AA23" s="2"/>
    </row>
    <row r="24" spans="3:27" x14ac:dyDescent="0.25">
      <c r="C24" s="6">
        <v>192</v>
      </c>
      <c r="D24" s="7">
        <f t="shared" si="0"/>
        <v>8</v>
      </c>
      <c r="E24" s="3">
        <v>4.2300000000000004</v>
      </c>
      <c r="F24" s="8">
        <v>0.2</v>
      </c>
      <c r="G24">
        <v>10</v>
      </c>
      <c r="O24">
        <v>48</v>
      </c>
      <c r="P24" s="3">
        <v>0</v>
      </c>
      <c r="Q24" s="3">
        <f t="shared" si="2"/>
        <v>0</v>
      </c>
      <c r="R24" s="3">
        <f t="shared" si="3"/>
        <v>0</v>
      </c>
      <c r="S24" s="3">
        <v>1.1667505739328246</v>
      </c>
      <c r="T24" s="3">
        <f t="shared" si="1"/>
        <v>0</v>
      </c>
      <c r="U24" s="3">
        <v>1.6823529411764682</v>
      </c>
      <c r="V24" s="3">
        <f t="shared" ref="V24:V42" si="5">1000*U24</f>
        <v>1682.3529411764682</v>
      </c>
      <c r="W24" s="3">
        <v>0</v>
      </c>
      <c r="X24" s="3">
        <f t="shared" si="4"/>
        <v>0</v>
      </c>
      <c r="Y24" s="2"/>
      <c r="Z24" s="2"/>
      <c r="AA24" s="2"/>
    </row>
    <row r="25" spans="3:27" x14ac:dyDescent="0.25">
      <c r="C25" s="9">
        <v>217</v>
      </c>
      <c r="D25" s="10">
        <f t="shared" si="0"/>
        <v>9.0416666666666661</v>
      </c>
      <c r="E25" s="3">
        <v>3.43</v>
      </c>
      <c r="F25" s="8">
        <v>0.2</v>
      </c>
      <c r="G25">
        <v>15</v>
      </c>
      <c r="O25">
        <v>79</v>
      </c>
      <c r="P25" s="3">
        <v>0</v>
      </c>
      <c r="Q25" s="3">
        <f t="shared" si="2"/>
        <v>0</v>
      </c>
      <c r="R25" s="3">
        <f t="shared" si="3"/>
        <v>0</v>
      </c>
      <c r="S25" s="3">
        <v>0.67070691675180327</v>
      </c>
      <c r="T25" s="3">
        <f t="shared" si="1"/>
        <v>0</v>
      </c>
      <c r="U25" s="3">
        <v>1.5411764705882354</v>
      </c>
      <c r="V25" s="3">
        <f t="shared" si="5"/>
        <v>1541.1764705882354</v>
      </c>
      <c r="W25" s="3">
        <v>0</v>
      </c>
      <c r="X25" s="3">
        <f t="shared" si="4"/>
        <v>0</v>
      </c>
      <c r="Y25" s="2"/>
      <c r="Z25" s="2"/>
      <c r="AA25" s="2"/>
    </row>
    <row r="26" spans="3:27" x14ac:dyDescent="0.25">
      <c r="C26" s="9">
        <v>242</v>
      </c>
      <c r="D26" s="10">
        <f t="shared" si="0"/>
        <v>10.083333333333334</v>
      </c>
      <c r="E26" s="3">
        <v>3.51</v>
      </c>
      <c r="F26" s="8">
        <v>0.2</v>
      </c>
      <c r="G26">
        <v>15</v>
      </c>
      <c r="O26">
        <v>99</v>
      </c>
      <c r="P26" s="3">
        <v>0</v>
      </c>
      <c r="Q26" s="3">
        <f t="shared" si="2"/>
        <v>0</v>
      </c>
      <c r="R26" s="3">
        <f t="shared" si="3"/>
        <v>0</v>
      </c>
      <c r="S26" s="3">
        <v>0.64974732560330961</v>
      </c>
      <c r="T26" s="3">
        <f t="shared" si="1"/>
        <v>0</v>
      </c>
      <c r="U26" s="3">
        <v>1.5647058823529385</v>
      </c>
      <c r="V26" s="3">
        <f t="shared" si="5"/>
        <v>1564.7058823529385</v>
      </c>
      <c r="W26" s="3">
        <v>0</v>
      </c>
      <c r="X26" s="3">
        <f t="shared" si="4"/>
        <v>0</v>
      </c>
      <c r="Y26" s="2"/>
      <c r="Z26" s="2"/>
      <c r="AA26" s="2"/>
    </row>
    <row r="27" spans="3:27" x14ac:dyDescent="0.25">
      <c r="C27" s="9">
        <v>263</v>
      </c>
      <c r="D27" s="10">
        <f t="shared" si="0"/>
        <v>10.958333333333334</v>
      </c>
      <c r="E27" s="3">
        <v>3.35</v>
      </c>
      <c r="F27" s="8">
        <v>0.2</v>
      </c>
      <c r="G27">
        <v>15</v>
      </c>
      <c r="O27">
        <v>122</v>
      </c>
      <c r="P27" s="3">
        <v>0</v>
      </c>
      <c r="Q27" s="3">
        <f t="shared" si="2"/>
        <v>0</v>
      </c>
      <c r="R27" s="3">
        <f t="shared" si="3"/>
        <v>0</v>
      </c>
      <c r="S27" s="3">
        <v>0.46576869218875239</v>
      </c>
      <c r="T27" s="3">
        <f t="shared" si="1"/>
        <v>0</v>
      </c>
      <c r="U27" s="3">
        <v>1.3882352941176379</v>
      </c>
      <c r="V27" s="3">
        <f t="shared" si="5"/>
        <v>1388.235294117638</v>
      </c>
      <c r="W27" s="3">
        <v>0</v>
      </c>
      <c r="X27" s="3">
        <f t="shared" si="4"/>
        <v>0</v>
      </c>
      <c r="Y27" s="2"/>
      <c r="Z27" s="2"/>
      <c r="AA27" s="2"/>
    </row>
    <row r="28" spans="3:27" x14ac:dyDescent="0.25">
      <c r="C28" s="11">
        <v>290</v>
      </c>
      <c r="D28" s="12">
        <f t="shared" si="0"/>
        <v>12.083333333333334</v>
      </c>
      <c r="E28" s="3">
        <v>2.7</v>
      </c>
      <c r="F28" s="8">
        <v>0.2</v>
      </c>
      <c r="G28">
        <v>20</v>
      </c>
      <c r="O28">
        <v>144</v>
      </c>
      <c r="P28" s="3">
        <v>0</v>
      </c>
      <c r="Q28" s="3">
        <f t="shared" si="2"/>
        <v>0</v>
      </c>
      <c r="R28" s="3">
        <f t="shared" si="3"/>
        <v>0</v>
      </c>
      <c r="S28" s="3">
        <v>1.5626539622932643</v>
      </c>
      <c r="T28" s="3">
        <f t="shared" si="1"/>
        <v>0</v>
      </c>
      <c r="U28" s="3">
        <v>1.2058823529411742</v>
      </c>
      <c r="V28" s="3">
        <f t="shared" si="5"/>
        <v>1205.8823529411741</v>
      </c>
      <c r="W28" s="3">
        <v>0</v>
      </c>
      <c r="X28" s="3">
        <f t="shared" si="4"/>
        <v>0</v>
      </c>
      <c r="Y28" s="2"/>
      <c r="Z28" s="2"/>
      <c r="AA28" s="2"/>
    </row>
    <row r="29" spans="3:27" x14ac:dyDescent="0.25">
      <c r="C29" s="11">
        <v>314</v>
      </c>
      <c r="D29" s="12">
        <f t="shared" si="0"/>
        <v>13.083333333333334</v>
      </c>
      <c r="E29" s="3">
        <v>2.63</v>
      </c>
      <c r="F29" s="8">
        <v>0.2</v>
      </c>
      <c r="G29">
        <v>20</v>
      </c>
      <c r="O29">
        <v>169</v>
      </c>
      <c r="P29" s="3">
        <v>0</v>
      </c>
      <c r="Q29" s="3">
        <f t="shared" si="2"/>
        <v>0</v>
      </c>
      <c r="R29" s="3">
        <f t="shared" si="3"/>
        <v>0</v>
      </c>
      <c r="S29" s="3">
        <v>1.6069019880511954</v>
      </c>
      <c r="T29" s="3">
        <f t="shared" si="1"/>
        <v>0</v>
      </c>
      <c r="U29" s="3">
        <v>1.3235294117647038</v>
      </c>
      <c r="V29" s="3">
        <f t="shared" si="5"/>
        <v>1323.5294117647038</v>
      </c>
      <c r="W29" s="3">
        <v>0</v>
      </c>
      <c r="X29" s="3">
        <f t="shared" si="4"/>
        <v>0</v>
      </c>
      <c r="Y29" s="2"/>
      <c r="Z29" s="2"/>
      <c r="AA29" s="2"/>
    </row>
    <row r="30" spans="3:27" x14ac:dyDescent="0.25">
      <c r="C30" s="11">
        <v>335</v>
      </c>
      <c r="D30" s="12">
        <f t="shared" si="0"/>
        <v>13.958333333333334</v>
      </c>
      <c r="E30" s="3">
        <v>2.6</v>
      </c>
      <c r="F30" s="8">
        <v>0.2</v>
      </c>
      <c r="G30">
        <v>20</v>
      </c>
      <c r="O30">
        <v>192</v>
      </c>
      <c r="P30" s="3">
        <v>0</v>
      </c>
      <c r="Q30" s="3">
        <f t="shared" si="2"/>
        <v>0</v>
      </c>
      <c r="R30" s="3">
        <f t="shared" si="3"/>
        <v>0</v>
      </c>
      <c r="S30" s="3">
        <v>1.4974463453868387</v>
      </c>
      <c r="T30" s="3">
        <f t="shared" si="1"/>
        <v>0</v>
      </c>
      <c r="U30" s="3">
        <v>1.2705882352941213</v>
      </c>
      <c r="V30" s="3">
        <f t="shared" si="5"/>
        <v>1270.5882352941214</v>
      </c>
      <c r="W30" s="3">
        <v>0</v>
      </c>
      <c r="X30" s="3">
        <f t="shared" si="4"/>
        <v>0</v>
      </c>
      <c r="Y30" s="2"/>
      <c r="Z30" s="2"/>
      <c r="AA30" s="2"/>
    </row>
    <row r="31" spans="3:27" x14ac:dyDescent="0.25">
      <c r="C31" s="13">
        <v>363</v>
      </c>
      <c r="D31" s="14">
        <f t="shared" si="0"/>
        <v>15.125</v>
      </c>
      <c r="E31" s="3">
        <v>2.2999999999999998</v>
      </c>
      <c r="F31" s="8">
        <v>0.2</v>
      </c>
      <c r="G31">
        <v>25</v>
      </c>
      <c r="O31">
        <v>263</v>
      </c>
      <c r="P31" s="3">
        <v>15.690301413843422</v>
      </c>
      <c r="Q31" s="3">
        <f t="shared" si="2"/>
        <v>2.2610508852419064</v>
      </c>
      <c r="R31" s="3">
        <f t="shared" si="3"/>
        <v>1.3191943116381937</v>
      </c>
      <c r="S31" s="3">
        <v>0.23987087647720745</v>
      </c>
      <c r="T31" s="3">
        <f t="shared" si="1"/>
        <v>5.4996018316693966</v>
      </c>
      <c r="U31" s="3">
        <v>0.91176470588235703</v>
      </c>
      <c r="V31" s="3">
        <f t="shared" si="5"/>
        <v>911.76470588235702</v>
      </c>
      <c r="W31" s="3">
        <v>0</v>
      </c>
      <c r="X31" s="3">
        <f t="shared" si="4"/>
        <v>0</v>
      </c>
      <c r="Y31" s="2"/>
      <c r="Z31" s="2"/>
      <c r="AA31" s="2"/>
    </row>
    <row r="32" spans="3:27" x14ac:dyDescent="0.25">
      <c r="C32" s="13">
        <v>386</v>
      </c>
      <c r="D32" s="14">
        <f t="shared" si="0"/>
        <v>16.083333333333332</v>
      </c>
      <c r="E32" s="3">
        <v>2.06</v>
      </c>
      <c r="F32" s="8">
        <v>0.2</v>
      </c>
      <c r="G32">
        <v>25</v>
      </c>
      <c r="O32">
        <v>335</v>
      </c>
      <c r="P32" s="3">
        <v>2.2280493415167566</v>
      </c>
      <c r="Q32" s="3">
        <f t="shared" si="2"/>
        <v>0.32107305035927225</v>
      </c>
      <c r="R32" s="3">
        <f t="shared" si="3"/>
        <v>0.1873278237207649</v>
      </c>
      <c r="S32" s="3">
        <v>0.29110543261797023</v>
      </c>
      <c r="T32" s="3">
        <f t="shared" si="1"/>
        <v>0.64350507661807532</v>
      </c>
      <c r="U32" s="3">
        <v>0.6470588235294189</v>
      </c>
      <c r="V32" s="3">
        <f t="shared" si="5"/>
        <v>647.05882352941887</v>
      </c>
      <c r="W32" s="3">
        <v>1.29</v>
      </c>
      <c r="X32" s="3">
        <f t="shared" si="4"/>
        <v>8.3470588235295029</v>
      </c>
      <c r="Y32" s="2"/>
      <c r="Z32" s="2"/>
      <c r="AA32" s="2"/>
    </row>
    <row r="33" spans="3:34" x14ac:dyDescent="0.25">
      <c r="C33" s="13">
        <v>416</v>
      </c>
      <c r="D33" s="14">
        <f t="shared" si="0"/>
        <v>17.333333333333332</v>
      </c>
      <c r="E33" s="3">
        <v>2.04</v>
      </c>
      <c r="F33" s="8">
        <v>0.2</v>
      </c>
      <c r="G33">
        <v>25</v>
      </c>
      <c r="O33">
        <v>434</v>
      </c>
      <c r="P33" s="3">
        <v>5.2738462090813609</v>
      </c>
      <c r="Q33" s="3">
        <f t="shared" si="2"/>
        <v>0.75998760795966958</v>
      </c>
      <c r="R33" s="3">
        <f t="shared" si="3"/>
        <v>0.44340944995081355</v>
      </c>
      <c r="S33" s="3">
        <v>0.28179005877419516</v>
      </c>
      <c r="T33" s="3">
        <f t="shared" si="1"/>
        <v>1.5735453971643751</v>
      </c>
      <c r="U33" s="3">
        <v>0.62941176470589133</v>
      </c>
      <c r="V33" s="3">
        <f t="shared" si="5"/>
        <v>629.4117647058913</v>
      </c>
      <c r="W33" s="3">
        <v>1.69</v>
      </c>
      <c r="X33" s="3">
        <f t="shared" si="4"/>
        <v>10.637058823529562</v>
      </c>
      <c r="Y33" s="2"/>
      <c r="Z33" s="2"/>
      <c r="AA33" s="2"/>
    </row>
    <row r="34" spans="3:34" x14ac:dyDescent="0.25">
      <c r="C34" s="13">
        <v>434</v>
      </c>
      <c r="D34" s="14">
        <f t="shared" si="0"/>
        <v>18.083333333333332</v>
      </c>
      <c r="E34" s="3">
        <v>2.5499999999999998</v>
      </c>
      <c r="F34" s="8">
        <v>0.2</v>
      </c>
      <c r="G34">
        <v>25</v>
      </c>
      <c r="O34">
        <v>505</v>
      </c>
      <c r="P34" s="3">
        <v>9.3599245917720317</v>
      </c>
      <c r="Q34" s="3">
        <f t="shared" si="2"/>
        <v>1.3488119332973088</v>
      </c>
      <c r="R34" s="3">
        <f t="shared" si="3"/>
        <v>0.78695488079878173</v>
      </c>
      <c r="S34" s="3">
        <v>0.24918625032098249</v>
      </c>
      <c r="T34" s="3">
        <f t="shared" si="1"/>
        <v>3.1580991318144047</v>
      </c>
      <c r="U34" s="3">
        <v>0.53529411764705215</v>
      </c>
      <c r="V34" s="3">
        <f t="shared" si="5"/>
        <v>535.29411764705219</v>
      </c>
      <c r="W34" s="3">
        <v>2.13</v>
      </c>
      <c r="X34" s="3">
        <f t="shared" si="4"/>
        <v>11.401764705882211</v>
      </c>
      <c r="Y34" s="2"/>
      <c r="Z34" s="2"/>
      <c r="AA34" s="2"/>
    </row>
    <row r="35" spans="3:34" x14ac:dyDescent="0.25">
      <c r="C35" s="15">
        <v>462</v>
      </c>
      <c r="D35" s="16">
        <f t="shared" si="0"/>
        <v>19.25</v>
      </c>
      <c r="E35" s="3">
        <v>1.72</v>
      </c>
      <c r="F35" s="8">
        <v>0.2</v>
      </c>
      <c r="G35">
        <v>30</v>
      </c>
      <c r="O35">
        <v>578</v>
      </c>
      <c r="P35" s="3">
        <v>7.1620367158718743</v>
      </c>
      <c r="Q35" s="3">
        <f t="shared" si="2"/>
        <v>1.0320853009407165</v>
      </c>
      <c r="R35" s="3">
        <f t="shared" si="3"/>
        <v>0.60216294423675454</v>
      </c>
      <c r="S35" s="3">
        <v>0.16534788572700707</v>
      </c>
      <c r="T35" s="3">
        <f t="shared" si="1"/>
        <v>3.6417940367918495</v>
      </c>
      <c r="U35" s="3">
        <v>0.71176470588235297</v>
      </c>
      <c r="V35" s="3">
        <f t="shared" si="5"/>
        <v>711.76470588235293</v>
      </c>
      <c r="W35" s="3">
        <v>2.37</v>
      </c>
      <c r="X35" s="3">
        <f t="shared" si="4"/>
        <v>16.868823529411767</v>
      </c>
      <c r="Y35" s="2"/>
      <c r="Z35" s="2"/>
      <c r="AA35" s="2"/>
    </row>
    <row r="36" spans="3:34" x14ac:dyDescent="0.25">
      <c r="C36" s="15">
        <v>482</v>
      </c>
      <c r="D36" s="16">
        <f t="shared" si="0"/>
        <v>20.083333333333332</v>
      </c>
      <c r="E36" s="3">
        <v>1.91</v>
      </c>
      <c r="F36" s="8">
        <v>0.2</v>
      </c>
      <c r="G36">
        <v>30</v>
      </c>
      <c r="O36">
        <v>650</v>
      </c>
      <c r="P36" s="3">
        <v>4.8315698323274434</v>
      </c>
      <c r="Q36" s="3">
        <f t="shared" si="2"/>
        <v>0.69625337068754634</v>
      </c>
      <c r="R36" s="3">
        <f t="shared" si="3"/>
        <v>0.40622415535405415</v>
      </c>
      <c r="S36" s="3">
        <v>0.11877101650813184</v>
      </c>
      <c r="T36" s="3">
        <f t="shared" si="1"/>
        <v>3.4202296763726139</v>
      </c>
      <c r="U36" s="3">
        <v>0.80000000000000326</v>
      </c>
      <c r="V36" s="3">
        <f t="shared" si="5"/>
        <v>800.0000000000033</v>
      </c>
      <c r="W36" s="3">
        <v>2.02</v>
      </c>
      <c r="X36" s="3">
        <f t="shared" si="4"/>
        <v>16.160000000000068</v>
      </c>
      <c r="Y36" s="2"/>
      <c r="Z36" s="2"/>
      <c r="AA36" s="2"/>
    </row>
    <row r="37" spans="3:34" x14ac:dyDescent="0.25">
      <c r="C37" s="15">
        <v>505</v>
      </c>
      <c r="D37" s="16">
        <f t="shared" si="0"/>
        <v>21.041666666666668</v>
      </c>
      <c r="E37" s="3">
        <v>1.9059999999999999</v>
      </c>
      <c r="F37" s="8">
        <v>0.2</v>
      </c>
      <c r="G37">
        <v>30</v>
      </c>
      <c r="O37">
        <v>720</v>
      </c>
      <c r="P37" s="3">
        <v>0</v>
      </c>
      <c r="Q37" s="3">
        <f t="shared" si="2"/>
        <v>0</v>
      </c>
      <c r="R37" s="3">
        <f t="shared" si="3"/>
        <v>0</v>
      </c>
      <c r="S37" s="3">
        <v>-5.5892243062650282E-2</v>
      </c>
      <c r="T37" s="3">
        <f t="shared" si="1"/>
        <v>0</v>
      </c>
      <c r="U37" s="3">
        <v>1.047058823529414</v>
      </c>
      <c r="V37" s="3">
        <f t="shared" si="5"/>
        <v>1047.058823529414</v>
      </c>
      <c r="W37" s="3">
        <v>1.94</v>
      </c>
      <c r="X37" s="3">
        <f t="shared" si="4"/>
        <v>20.31294117647063</v>
      </c>
      <c r="Y37" s="2"/>
      <c r="Z37" s="2"/>
      <c r="AA37" s="2"/>
    </row>
    <row r="38" spans="3:34" x14ac:dyDescent="0.25">
      <c r="C38" s="17">
        <v>529</v>
      </c>
      <c r="D38" s="18">
        <f t="shared" si="0"/>
        <v>22.041666666666668</v>
      </c>
      <c r="E38" s="3">
        <v>2.262</v>
      </c>
      <c r="F38" s="8">
        <v>0.2</v>
      </c>
      <c r="G38">
        <v>25</v>
      </c>
      <c r="O38">
        <v>793</v>
      </c>
      <c r="P38" s="3">
        <v>0</v>
      </c>
      <c r="Q38" s="3">
        <f t="shared" si="2"/>
        <v>0</v>
      </c>
      <c r="R38" s="3">
        <f t="shared" si="3"/>
        <v>0</v>
      </c>
      <c r="S38" s="3">
        <v>5.1234556140762756E-2</v>
      </c>
      <c r="T38" s="3">
        <f t="shared" si="1"/>
        <v>0</v>
      </c>
      <c r="U38" s="3">
        <v>1.4529411764705851</v>
      </c>
      <c r="V38" s="3">
        <f t="shared" si="5"/>
        <v>1452.9411764705851</v>
      </c>
      <c r="W38" s="3">
        <v>0.54</v>
      </c>
      <c r="X38" s="3">
        <f t="shared" si="4"/>
        <v>7.8458823529411603</v>
      </c>
      <c r="Y38" s="2"/>
      <c r="Z38" s="2"/>
      <c r="AA38" s="2"/>
    </row>
    <row r="39" spans="3:34" x14ac:dyDescent="0.25">
      <c r="C39" s="17">
        <v>553</v>
      </c>
      <c r="D39" s="18">
        <f t="shared" si="0"/>
        <v>23.041666666666668</v>
      </c>
      <c r="E39" s="3">
        <v>2.17</v>
      </c>
      <c r="F39" s="8">
        <v>0.2</v>
      </c>
      <c r="G39">
        <v>25</v>
      </c>
      <c r="O39">
        <v>864</v>
      </c>
      <c r="P39" s="3">
        <v>8.2899410462465664</v>
      </c>
      <c r="Q39" s="3">
        <f t="shared" si="2"/>
        <v>1.1946219544693615</v>
      </c>
      <c r="R39" s="3">
        <f t="shared" si="3"/>
        <v>0.69699381698146767</v>
      </c>
      <c r="S39" s="3">
        <v>7.6851834211144138E-2</v>
      </c>
      <c r="T39" s="3">
        <f t="shared" si="1"/>
        <v>9.0693192184136304</v>
      </c>
      <c r="U39" s="3">
        <v>0.43428571428571083</v>
      </c>
      <c r="V39" s="3">
        <f t="shared" si="5"/>
        <v>434.28571428571081</v>
      </c>
      <c r="W39" s="3">
        <v>1.02</v>
      </c>
      <c r="X39" s="3">
        <f t="shared" si="4"/>
        <v>4.4297142857142502</v>
      </c>
      <c r="Y39" s="2"/>
      <c r="Z39" s="2"/>
      <c r="AA39" s="2"/>
      <c r="AF39" s="52"/>
      <c r="AG39" s="52"/>
      <c r="AH39" s="52"/>
    </row>
    <row r="40" spans="3:34" x14ac:dyDescent="0.25">
      <c r="C40" s="17">
        <v>578</v>
      </c>
      <c r="D40" s="18">
        <f t="shared" si="0"/>
        <v>24.083333333333332</v>
      </c>
      <c r="E40" s="3">
        <v>2.37</v>
      </c>
      <c r="F40" s="8">
        <v>0.2</v>
      </c>
      <c r="G40">
        <v>25</v>
      </c>
      <c r="O40">
        <v>939</v>
      </c>
      <c r="P40" s="3">
        <v>9.8290459812501751</v>
      </c>
      <c r="Q40" s="3">
        <f t="shared" si="2"/>
        <v>1.4164146711280565</v>
      </c>
      <c r="R40" s="3">
        <f t="shared" si="3"/>
        <v>0.82639722496696677</v>
      </c>
      <c r="S40" s="3">
        <v>0.12808639035190689</v>
      </c>
      <c r="T40" s="3">
        <f t="shared" si="1"/>
        <v>6.4518737915598052</v>
      </c>
      <c r="U40" s="3">
        <v>0.40000000000000036</v>
      </c>
      <c r="V40" s="3">
        <f t="shared" si="5"/>
        <v>400.00000000000034</v>
      </c>
      <c r="W40" s="3">
        <v>1.1499999999999999</v>
      </c>
      <c r="X40" s="3">
        <f t="shared" si="4"/>
        <v>4.6000000000000041</v>
      </c>
      <c r="Y40" s="2"/>
      <c r="Z40" s="2"/>
      <c r="AA40" s="2"/>
    </row>
    <row r="41" spans="3:34" x14ac:dyDescent="0.25">
      <c r="C41" s="19">
        <v>606</v>
      </c>
      <c r="D41" s="20">
        <f t="shared" si="0"/>
        <v>25.25</v>
      </c>
      <c r="E41" s="3">
        <v>2.65</v>
      </c>
      <c r="F41" s="8">
        <v>0.2</v>
      </c>
      <c r="G41">
        <v>20</v>
      </c>
      <c r="O41">
        <v>1009</v>
      </c>
      <c r="P41" s="3">
        <v>0.88864355251131544</v>
      </c>
      <c r="Q41" s="3">
        <f t="shared" si="2"/>
        <v>0.12805797913464312</v>
      </c>
      <c r="R41" s="3">
        <f t="shared" si="3"/>
        <v>7.4714531520253591E-2</v>
      </c>
      <c r="S41" s="3">
        <v>2.7946121531325141E-2</v>
      </c>
      <c r="T41" s="3">
        <f t="shared" si="1"/>
        <v>2.6735205969996652</v>
      </c>
      <c r="U41" s="3">
        <v>0.40285714285714291</v>
      </c>
      <c r="V41" s="3">
        <f t="shared" si="5"/>
        <v>402.85714285714289</v>
      </c>
      <c r="W41" s="3">
        <v>2.21</v>
      </c>
      <c r="X41" s="3">
        <f t="shared" si="4"/>
        <v>8.903142857142857</v>
      </c>
      <c r="Y41" s="2"/>
      <c r="Z41" s="2"/>
      <c r="AA41" s="2"/>
    </row>
    <row r="42" spans="3:34" x14ac:dyDescent="0.25">
      <c r="C42" s="19">
        <v>628</v>
      </c>
      <c r="D42" s="20">
        <f t="shared" si="0"/>
        <v>26.166666666666668</v>
      </c>
      <c r="E42" s="3">
        <v>2.75</v>
      </c>
      <c r="F42" s="8">
        <v>0.2</v>
      </c>
      <c r="G42">
        <v>20</v>
      </c>
      <c r="O42">
        <v>1084</v>
      </c>
      <c r="P42" s="3">
        <v>0</v>
      </c>
      <c r="Q42" s="3">
        <f t="shared" si="2"/>
        <v>0</v>
      </c>
      <c r="R42" s="3">
        <f t="shared" si="3"/>
        <v>0</v>
      </c>
      <c r="S42" s="3">
        <v>0.17699210303172588</v>
      </c>
      <c r="T42" s="3">
        <f t="shared" si="1"/>
        <v>0</v>
      </c>
      <c r="U42" s="3">
        <v>0.5199999999999998</v>
      </c>
      <c r="V42" s="3">
        <f t="shared" si="5"/>
        <v>519.99999999999977</v>
      </c>
      <c r="W42" s="3">
        <v>1.78</v>
      </c>
      <c r="X42" s="3">
        <f t="shared" si="4"/>
        <v>9.2559999999999967</v>
      </c>
      <c r="Y42" s="2"/>
      <c r="Z42" s="2"/>
      <c r="AA42" s="2"/>
    </row>
    <row r="43" spans="3:34" x14ac:dyDescent="0.25">
      <c r="C43" s="19">
        <v>650</v>
      </c>
      <c r="D43" s="20">
        <f t="shared" si="0"/>
        <v>27.083333333333332</v>
      </c>
      <c r="E43" s="3">
        <v>2.73</v>
      </c>
      <c r="F43" s="8">
        <v>0.2</v>
      </c>
      <c r="G43">
        <v>20</v>
      </c>
      <c r="O43">
        <v>1227</v>
      </c>
      <c r="P43" s="3">
        <v>7.9589240574884288</v>
      </c>
      <c r="Q43" s="3">
        <f t="shared" ref="Q43:Q50" si="6">P43*0.144105</f>
        <v>1.1469207513043702</v>
      </c>
      <c r="R43" s="3">
        <f t="shared" ref="R43:R50" si="7">Q43*0.583443</f>
        <v>0.66916288390327572</v>
      </c>
      <c r="S43" s="3">
        <v>7.6851834211144138E-2</v>
      </c>
      <c r="T43" s="3">
        <f t="shared" ref="T43:T50" si="8">R43/S43</f>
        <v>8.707181692824733</v>
      </c>
      <c r="U43" s="3">
        <v>0.55142857142857415</v>
      </c>
      <c r="V43" s="3">
        <f t="shared" ref="V43:V50" si="9">1000*U43</f>
        <v>551.42857142857417</v>
      </c>
      <c r="W43" s="3">
        <v>1.05</v>
      </c>
      <c r="X43" s="3">
        <f>V43*(W43/100)</f>
        <v>5.7900000000000293</v>
      </c>
      <c r="Y43" s="2"/>
      <c r="Z43" s="2"/>
      <c r="AA43" s="2"/>
    </row>
    <row r="44" spans="3:34" x14ac:dyDescent="0.25">
      <c r="C44" s="21">
        <v>677</v>
      </c>
      <c r="D44" s="22">
        <f t="shared" si="0"/>
        <v>28.208333333333332</v>
      </c>
      <c r="E44" s="3">
        <v>3.64</v>
      </c>
      <c r="F44" s="8">
        <v>0.2</v>
      </c>
      <c r="G44">
        <v>15</v>
      </c>
      <c r="O44">
        <v>1396</v>
      </c>
      <c r="P44" s="3">
        <v>2.8677520291214988</v>
      </c>
      <c r="Q44" s="3">
        <f t="shared" si="6"/>
        <v>0.4132574061565536</v>
      </c>
      <c r="R44" s="3">
        <f t="shared" si="7"/>
        <v>0.24111214082019811</v>
      </c>
      <c r="S44" s="3">
        <v>-5.1234556140762756E-2</v>
      </c>
      <c r="T44" s="3">
        <f t="shared" si="8"/>
        <v>-4.7060452745557546</v>
      </c>
      <c r="U44" s="3">
        <v>0.46285714285714263</v>
      </c>
      <c r="V44" s="3">
        <f t="shared" si="9"/>
        <v>462.85714285714266</v>
      </c>
      <c r="W44" s="3">
        <v>4.84</v>
      </c>
      <c r="X44" s="3">
        <f>V44*(W44/100)</f>
        <v>22.402285714285703</v>
      </c>
      <c r="Y44" s="2"/>
      <c r="Z44" s="2"/>
      <c r="AA44" s="2"/>
    </row>
    <row r="45" spans="3:34" x14ac:dyDescent="0.25">
      <c r="C45" s="21">
        <v>700</v>
      </c>
      <c r="D45" s="22">
        <f t="shared" si="0"/>
        <v>29.166666666666668</v>
      </c>
      <c r="E45" s="3">
        <v>3.76</v>
      </c>
      <c r="F45" s="8">
        <v>0.2</v>
      </c>
      <c r="G45">
        <v>15</v>
      </c>
      <c r="O45">
        <v>1563</v>
      </c>
      <c r="P45" s="3">
        <v>2.0424496842371731</v>
      </c>
      <c r="Q45" s="3">
        <f t="shared" si="6"/>
        <v>0.29432721174699783</v>
      </c>
      <c r="R45" s="3">
        <f t="shared" si="7"/>
        <v>0.17172315140330366</v>
      </c>
      <c r="S45" s="3">
        <v>0.13740176419568192</v>
      </c>
      <c r="T45" s="3">
        <f t="shared" si="8"/>
        <v>1.2497885482659643</v>
      </c>
      <c r="U45" s="3">
        <v>0.42571428571428643</v>
      </c>
      <c r="V45" s="3">
        <f t="shared" si="9"/>
        <v>425.71428571428646</v>
      </c>
      <c r="W45" s="3">
        <v>7.0149999999999997</v>
      </c>
      <c r="X45" s="3">
        <f t="shared" ref="X45:X50" si="10">V45*(W45/100)</f>
        <v>29.863857142857192</v>
      </c>
      <c r="Y45" s="2"/>
      <c r="Z45" s="2"/>
      <c r="AA45" s="2"/>
    </row>
    <row r="46" spans="3:34" x14ac:dyDescent="0.25">
      <c r="C46" s="21">
        <v>720</v>
      </c>
      <c r="D46" s="22">
        <f t="shared" si="0"/>
        <v>30</v>
      </c>
      <c r="E46" s="3">
        <v>3.63</v>
      </c>
      <c r="F46" s="8">
        <v>0.2</v>
      </c>
      <c r="G46">
        <v>15</v>
      </c>
      <c r="O46">
        <v>1827</v>
      </c>
      <c r="P46" s="3">
        <v>0.61397583675019263</v>
      </c>
      <c r="Q46" s="3">
        <f t="shared" si="6"/>
        <v>8.847698795488651E-2</v>
      </c>
      <c r="R46" s="3">
        <f t="shared" si="7"/>
        <v>5.1621279283362853E-2</v>
      </c>
      <c r="S46" s="3">
        <v>2.0959591148493852E-2</v>
      </c>
      <c r="T46" s="3">
        <f t="shared" si="8"/>
        <v>2.4628953359651931</v>
      </c>
      <c r="U46" s="3">
        <v>0.4485714285714299</v>
      </c>
      <c r="V46" s="3">
        <f t="shared" si="9"/>
        <v>448.57142857142992</v>
      </c>
      <c r="W46" s="3">
        <v>8.6050000000000004</v>
      </c>
      <c r="X46" s="3">
        <f t="shared" si="10"/>
        <v>38.599571428571544</v>
      </c>
      <c r="Y46" s="2"/>
      <c r="Z46" s="2"/>
      <c r="AA46" s="2"/>
    </row>
    <row r="47" spans="3:34" x14ac:dyDescent="0.25">
      <c r="C47" s="23">
        <v>751</v>
      </c>
      <c r="D47" s="24">
        <f t="shared" si="0"/>
        <v>31.291666666666668</v>
      </c>
      <c r="E47" s="3">
        <v>4.5199999999999996</v>
      </c>
      <c r="F47" s="8">
        <v>0.2</v>
      </c>
      <c r="G47">
        <v>10</v>
      </c>
      <c r="O47">
        <v>1973</v>
      </c>
      <c r="P47" s="3">
        <v>3.0911072165751454</v>
      </c>
      <c r="Q47" s="3">
        <f t="shared" si="6"/>
        <v>0.44544400544456136</v>
      </c>
      <c r="R47" s="3">
        <f t="shared" si="7"/>
        <v>0.25989118686859125</v>
      </c>
      <c r="S47" s="3">
        <v>0.17699210303172588</v>
      </c>
      <c r="T47" s="3">
        <f t="shared" si="8"/>
        <v>1.4683773028111073</v>
      </c>
      <c r="U47" s="3">
        <v>0.45428571428571179</v>
      </c>
      <c r="V47" s="3">
        <f t="shared" si="9"/>
        <v>454.28571428571178</v>
      </c>
      <c r="W47" s="3">
        <v>6.29</v>
      </c>
      <c r="X47" s="3">
        <f t="shared" si="10"/>
        <v>28.574571428571268</v>
      </c>
      <c r="Y47" s="2"/>
      <c r="Z47" s="2"/>
      <c r="AA47" s="2"/>
    </row>
    <row r="48" spans="3:34" x14ac:dyDescent="0.25">
      <c r="C48" s="23">
        <v>771</v>
      </c>
      <c r="D48" s="24">
        <f t="shared" si="0"/>
        <v>32.125</v>
      </c>
      <c r="E48" s="3">
        <v>4.83</v>
      </c>
      <c r="F48" s="8">
        <v>0.2</v>
      </c>
      <c r="G48">
        <v>10</v>
      </c>
      <c r="O48">
        <v>2065</v>
      </c>
      <c r="P48" s="3">
        <v>4.935143513650349</v>
      </c>
      <c r="Q48" s="3">
        <f t="shared" si="6"/>
        <v>0.71117885603458364</v>
      </c>
      <c r="R48" s="3">
        <f t="shared" si="7"/>
        <v>0.41493232530138563</v>
      </c>
      <c r="S48" s="3">
        <v>0.20493822456305102</v>
      </c>
      <c r="T48" s="3">
        <f t="shared" si="8"/>
        <v>2.0246702448314031</v>
      </c>
      <c r="U48" s="3">
        <v>0.43999999999999917</v>
      </c>
      <c r="V48" s="3">
        <f t="shared" si="9"/>
        <v>439.99999999999915</v>
      </c>
      <c r="W48" s="3">
        <v>4.88</v>
      </c>
      <c r="X48" s="3">
        <f t="shared" si="10"/>
        <v>21.471999999999955</v>
      </c>
      <c r="Y48" s="2"/>
      <c r="Z48" s="2"/>
      <c r="AA48" s="2"/>
    </row>
    <row r="49" spans="3:27" x14ac:dyDescent="0.25">
      <c r="C49" s="23">
        <v>793</v>
      </c>
      <c r="D49" s="24">
        <f t="shared" si="0"/>
        <v>33.041666666666664</v>
      </c>
      <c r="E49" s="3">
        <v>4.8</v>
      </c>
      <c r="F49" s="8">
        <v>0.2</v>
      </c>
      <c r="G49">
        <v>10</v>
      </c>
      <c r="O49">
        <v>2216</v>
      </c>
      <c r="P49" s="3">
        <v>6.9267951863535471</v>
      </c>
      <c r="Q49" s="3">
        <f t="shared" si="6"/>
        <v>0.998185820329478</v>
      </c>
      <c r="R49" s="3">
        <f t="shared" si="7"/>
        <v>0.58238452957049169</v>
      </c>
      <c r="S49" s="3">
        <v>0.21425359840682606</v>
      </c>
      <c r="T49" s="3">
        <f t="shared" si="8"/>
        <v>2.7182018593902741</v>
      </c>
      <c r="U49" s="3">
        <v>0.42571428571428643</v>
      </c>
      <c r="V49" s="3">
        <f t="shared" si="9"/>
        <v>425.71428571428646</v>
      </c>
      <c r="W49" s="3">
        <v>2.81</v>
      </c>
      <c r="X49" s="3">
        <f t="shared" si="10"/>
        <v>11.962571428571449</v>
      </c>
      <c r="Y49" s="2"/>
      <c r="Z49" s="2"/>
      <c r="AA49" s="2"/>
    </row>
    <row r="50" spans="3:27" x14ac:dyDescent="0.25">
      <c r="C50" s="25">
        <v>817</v>
      </c>
      <c r="D50" s="26">
        <f t="shared" si="0"/>
        <v>34.041666666666664</v>
      </c>
      <c r="E50" s="3">
        <v>1.59</v>
      </c>
      <c r="F50" s="8">
        <v>0.2</v>
      </c>
      <c r="G50">
        <v>35</v>
      </c>
      <c r="O50">
        <v>2378</v>
      </c>
      <c r="P50" s="3">
        <v>7.9649320403473931</v>
      </c>
      <c r="Q50" s="3">
        <f t="shared" si="6"/>
        <v>1.1477865316742613</v>
      </c>
      <c r="R50" s="3">
        <f t="shared" si="7"/>
        <v>0.66966801739962611</v>
      </c>
      <c r="S50" s="3">
        <v>0.22124012878965738</v>
      </c>
      <c r="T50" s="3">
        <f t="shared" si="8"/>
        <v>3.0268831475699813</v>
      </c>
      <c r="U50" s="3">
        <v>0.42428571428571515</v>
      </c>
      <c r="V50" s="3">
        <f t="shared" si="9"/>
        <v>424.28571428571513</v>
      </c>
      <c r="W50" s="3">
        <v>3.44</v>
      </c>
      <c r="X50" s="3">
        <f t="shared" si="10"/>
        <v>14.595428571428601</v>
      </c>
      <c r="Y50" s="2"/>
      <c r="Z50" s="2"/>
      <c r="AA50" s="2"/>
    </row>
    <row r="51" spans="3:27" x14ac:dyDescent="0.25">
      <c r="C51" s="25">
        <v>842</v>
      </c>
      <c r="D51" s="26">
        <f t="shared" si="0"/>
        <v>35.083333333333336</v>
      </c>
      <c r="E51" s="3">
        <v>1.476</v>
      </c>
      <c r="F51" s="8">
        <v>0.2</v>
      </c>
      <c r="G51">
        <v>35</v>
      </c>
      <c r="T51" s="2"/>
      <c r="U51" s="2"/>
      <c r="V51" s="2"/>
      <c r="W51" s="2"/>
      <c r="X51" s="2"/>
      <c r="Y51" s="2"/>
      <c r="Z51" s="2"/>
      <c r="AA51" s="2"/>
    </row>
    <row r="52" spans="3:27" x14ac:dyDescent="0.25">
      <c r="C52" s="25">
        <v>864</v>
      </c>
      <c r="D52" s="26">
        <f t="shared" si="0"/>
        <v>36</v>
      </c>
      <c r="E52" s="3">
        <v>1.4219999999999999</v>
      </c>
      <c r="F52" s="8">
        <v>0.2</v>
      </c>
      <c r="G52">
        <v>35</v>
      </c>
      <c r="T52" s="2"/>
      <c r="U52" s="2"/>
      <c r="V52" s="2"/>
      <c r="W52" s="2"/>
      <c r="X52" s="2"/>
      <c r="Y52" s="2"/>
      <c r="Z52" s="2"/>
      <c r="AA52" s="2"/>
    </row>
    <row r="53" spans="3:27" x14ac:dyDescent="0.25">
      <c r="C53" s="27">
        <v>890</v>
      </c>
      <c r="D53" s="28">
        <f t="shared" si="0"/>
        <v>37.083333333333336</v>
      </c>
      <c r="E53" s="3">
        <v>1.3720000000000001</v>
      </c>
      <c r="F53" s="8">
        <v>0.2</v>
      </c>
      <c r="G53">
        <v>40</v>
      </c>
      <c r="T53" s="2"/>
      <c r="U53" s="2"/>
      <c r="V53" s="2"/>
      <c r="W53" s="2"/>
      <c r="X53" s="2"/>
      <c r="Y53" s="2"/>
      <c r="Z53" s="2"/>
      <c r="AA53" s="2"/>
    </row>
    <row r="54" spans="3:27" x14ac:dyDescent="0.25">
      <c r="C54" s="27">
        <v>917</v>
      </c>
      <c r="D54" s="28">
        <f t="shared" si="0"/>
        <v>38.208333333333336</v>
      </c>
      <c r="E54" s="3">
        <v>1.27</v>
      </c>
      <c r="F54" s="8">
        <v>0.2</v>
      </c>
      <c r="G54">
        <v>40</v>
      </c>
      <c r="T54" s="2"/>
      <c r="U54" s="2"/>
      <c r="V54" s="2"/>
      <c r="W54" s="2"/>
      <c r="X54" s="2"/>
      <c r="Y54" s="2"/>
      <c r="Z54" s="2"/>
      <c r="AA54" s="2"/>
    </row>
    <row r="55" spans="3:27" x14ac:dyDescent="0.25">
      <c r="C55" s="27">
        <v>939</v>
      </c>
      <c r="D55" s="28">
        <f t="shared" si="0"/>
        <v>39.125</v>
      </c>
      <c r="E55" s="3">
        <v>1.3260000000000001</v>
      </c>
      <c r="F55" s="8">
        <v>0.2</v>
      </c>
      <c r="G55">
        <v>40</v>
      </c>
      <c r="T55" s="2"/>
      <c r="U55" s="2"/>
      <c r="V55" s="2"/>
      <c r="W55" s="2"/>
      <c r="X55" s="2"/>
      <c r="Y55" s="2"/>
      <c r="Z55" s="2"/>
      <c r="AA55" s="2"/>
    </row>
    <row r="56" spans="3:27" x14ac:dyDescent="0.25">
      <c r="C56" s="27">
        <v>967</v>
      </c>
      <c r="D56" s="28">
        <f t="shared" si="0"/>
        <v>40.291666666666664</v>
      </c>
      <c r="E56" s="3">
        <v>1.294</v>
      </c>
      <c r="F56" s="8">
        <v>0.2</v>
      </c>
      <c r="G56">
        <v>40</v>
      </c>
      <c r="T56" s="2"/>
      <c r="U56" s="2"/>
      <c r="V56" s="2"/>
      <c r="W56" s="2"/>
      <c r="X56" s="2"/>
      <c r="Y56" s="2"/>
      <c r="Z56" s="2"/>
      <c r="AA56" s="2"/>
    </row>
    <row r="57" spans="3:27" x14ac:dyDescent="0.25">
      <c r="C57" s="27">
        <v>989</v>
      </c>
      <c r="D57" s="28">
        <f t="shared" si="0"/>
        <v>41.208333333333336</v>
      </c>
      <c r="E57" s="3">
        <v>1.268</v>
      </c>
      <c r="F57" s="8">
        <v>0.2</v>
      </c>
      <c r="G57">
        <v>40</v>
      </c>
      <c r="T57" s="2"/>
      <c r="U57" s="2"/>
      <c r="V57" s="2"/>
      <c r="W57" s="2"/>
      <c r="X57" s="2"/>
      <c r="Y57" s="2"/>
      <c r="Z57" s="2"/>
      <c r="AA57" s="2"/>
    </row>
    <row r="58" spans="3:27" x14ac:dyDescent="0.25">
      <c r="C58" s="27">
        <v>1009</v>
      </c>
      <c r="D58" s="28">
        <f t="shared" si="0"/>
        <v>42.041666666666664</v>
      </c>
      <c r="E58" s="3">
        <v>1.363</v>
      </c>
      <c r="F58" s="8">
        <v>0.2</v>
      </c>
      <c r="G58">
        <v>40</v>
      </c>
      <c r="T58" s="2"/>
      <c r="U58" s="2"/>
      <c r="V58" s="2"/>
      <c r="W58" s="2"/>
      <c r="X58" s="2"/>
      <c r="Y58" s="2"/>
      <c r="Z58" s="2"/>
      <c r="AA58" s="2"/>
    </row>
    <row r="59" spans="3:27" x14ac:dyDescent="0.25">
      <c r="C59" s="29">
        <v>1035</v>
      </c>
      <c r="D59" s="30">
        <f t="shared" si="0"/>
        <v>43.125</v>
      </c>
      <c r="E59" s="3">
        <v>1.7</v>
      </c>
      <c r="F59" s="8">
        <v>0.2</v>
      </c>
      <c r="G59">
        <v>30</v>
      </c>
      <c r="T59" s="2"/>
      <c r="U59" s="2"/>
      <c r="V59" s="2"/>
      <c r="W59" s="2"/>
      <c r="X59" s="2"/>
      <c r="Y59" s="2"/>
      <c r="Z59" s="2"/>
      <c r="AA59" s="2"/>
    </row>
    <row r="60" spans="3:27" x14ac:dyDescent="0.25">
      <c r="C60" s="29">
        <v>1060</v>
      </c>
      <c r="D60" s="30">
        <f t="shared" si="0"/>
        <v>44.166666666666664</v>
      </c>
      <c r="E60" s="3">
        <v>1.748</v>
      </c>
      <c r="F60" s="8">
        <v>0.2</v>
      </c>
      <c r="G60">
        <v>30</v>
      </c>
      <c r="T60" s="2"/>
      <c r="U60" s="2"/>
      <c r="V60" s="2"/>
      <c r="W60" s="2"/>
      <c r="X60" s="2"/>
      <c r="Y60" s="2"/>
      <c r="Z60" s="2"/>
      <c r="AA60" s="2"/>
    </row>
    <row r="61" spans="3:27" x14ac:dyDescent="0.25">
      <c r="C61" s="29">
        <v>1084</v>
      </c>
      <c r="D61" s="30">
        <f t="shared" si="0"/>
        <v>45.166666666666664</v>
      </c>
      <c r="E61" s="3">
        <v>1.738</v>
      </c>
      <c r="F61" s="8">
        <v>0.2</v>
      </c>
      <c r="G61">
        <v>30</v>
      </c>
      <c r="T61" s="2"/>
      <c r="U61" s="2"/>
      <c r="V61" s="2"/>
      <c r="W61" s="2"/>
      <c r="X61" s="2"/>
      <c r="Y61" s="2"/>
      <c r="Z61" s="2"/>
      <c r="AA61" s="2"/>
    </row>
    <row r="62" spans="3:27" x14ac:dyDescent="0.25">
      <c r="C62" s="25">
        <v>1108</v>
      </c>
      <c r="D62" s="26">
        <f t="shared" si="0"/>
        <v>46.166666666666664</v>
      </c>
      <c r="E62" s="3">
        <v>1.33</v>
      </c>
      <c r="F62" s="8">
        <v>0.2</v>
      </c>
      <c r="G62">
        <v>40</v>
      </c>
      <c r="T62" s="2"/>
      <c r="U62" s="2"/>
      <c r="V62" s="2"/>
      <c r="W62" s="2"/>
      <c r="X62" s="2"/>
      <c r="Y62" s="2"/>
      <c r="Z62" s="2"/>
      <c r="AA62" s="2"/>
    </row>
    <row r="63" spans="3:27" x14ac:dyDescent="0.25">
      <c r="C63" s="25">
        <v>1132</v>
      </c>
      <c r="D63" s="26">
        <f t="shared" si="0"/>
        <v>47.166666666666664</v>
      </c>
      <c r="E63" s="3">
        <v>1.246</v>
      </c>
      <c r="F63" s="8">
        <v>0.2</v>
      </c>
      <c r="G63">
        <v>40</v>
      </c>
      <c r="T63" s="2"/>
      <c r="U63" s="2"/>
      <c r="V63" s="2"/>
      <c r="W63" s="2"/>
      <c r="X63" s="2"/>
      <c r="Y63" s="2"/>
      <c r="Z63" s="2"/>
      <c r="AA63" s="2"/>
    </row>
    <row r="64" spans="3:27" x14ac:dyDescent="0.25">
      <c r="C64" s="25">
        <v>1155</v>
      </c>
      <c r="D64" s="26">
        <f t="shared" si="0"/>
        <v>48.125</v>
      </c>
      <c r="E64" s="3">
        <v>1.3180000000000001</v>
      </c>
      <c r="F64" s="8">
        <v>0.2</v>
      </c>
      <c r="G64">
        <v>40</v>
      </c>
      <c r="T64" s="2"/>
      <c r="U64" s="2"/>
      <c r="V64" s="2"/>
      <c r="W64" s="2"/>
      <c r="X64" s="2"/>
      <c r="Y64" s="2"/>
      <c r="Z64" s="2"/>
      <c r="AA64" s="2"/>
    </row>
    <row r="65" spans="3:27" x14ac:dyDescent="0.25">
      <c r="C65" s="31">
        <v>1184</v>
      </c>
      <c r="D65" s="32">
        <f t="shared" si="0"/>
        <v>49.333333333333336</v>
      </c>
      <c r="E65" s="3">
        <v>1.41</v>
      </c>
      <c r="F65" s="8">
        <v>0.2</v>
      </c>
      <c r="G65">
        <v>35</v>
      </c>
      <c r="T65" s="2"/>
      <c r="U65" s="2"/>
      <c r="V65" s="2"/>
      <c r="W65" s="2"/>
      <c r="X65" s="2"/>
      <c r="Y65" s="2"/>
      <c r="Z65" s="2"/>
      <c r="AA65" s="2"/>
    </row>
    <row r="66" spans="3:27" x14ac:dyDescent="0.25">
      <c r="C66" s="31">
        <v>1204</v>
      </c>
      <c r="D66" s="32">
        <f t="shared" si="0"/>
        <v>50.166666666666664</v>
      </c>
      <c r="E66" s="3">
        <v>1.46</v>
      </c>
      <c r="F66" s="8">
        <v>0.2</v>
      </c>
      <c r="G66">
        <v>35</v>
      </c>
      <c r="T66" s="2"/>
      <c r="U66" s="2"/>
      <c r="V66" s="2"/>
      <c r="W66" s="2"/>
      <c r="X66" s="2"/>
      <c r="Y66" s="2"/>
      <c r="Z66" s="2"/>
      <c r="AA66" s="2"/>
    </row>
    <row r="67" spans="3:27" x14ac:dyDescent="0.25">
      <c r="C67" s="31">
        <v>1227</v>
      </c>
      <c r="D67" s="32">
        <f t="shared" si="0"/>
        <v>51.125</v>
      </c>
      <c r="E67" s="3">
        <v>1.53</v>
      </c>
      <c r="F67" s="8">
        <v>0.2</v>
      </c>
      <c r="G67">
        <v>35</v>
      </c>
      <c r="T67" s="2"/>
      <c r="U67" s="2"/>
      <c r="V67" s="2"/>
      <c r="W67" s="2"/>
      <c r="X67" s="2"/>
      <c r="Y67" s="2"/>
      <c r="Z67" s="2"/>
      <c r="AA67" s="2"/>
    </row>
    <row r="68" spans="3:27" x14ac:dyDescent="0.25">
      <c r="C68" s="33">
        <v>1250</v>
      </c>
      <c r="D68" s="34">
        <f t="shared" si="0"/>
        <v>52.083333333333336</v>
      </c>
      <c r="E68" s="3">
        <v>1.6060000000000001</v>
      </c>
      <c r="F68" s="8">
        <v>0.1</v>
      </c>
      <c r="G68">
        <v>35</v>
      </c>
      <c r="T68" s="2"/>
      <c r="U68" s="2"/>
      <c r="V68" s="2"/>
      <c r="W68" s="2"/>
      <c r="X68" s="2"/>
      <c r="Y68" s="2"/>
      <c r="Z68" s="2"/>
      <c r="AA68" s="2"/>
    </row>
    <row r="69" spans="3:27" x14ac:dyDescent="0.25">
      <c r="C69" s="33">
        <v>1278</v>
      </c>
      <c r="D69" s="34">
        <f t="shared" si="0"/>
        <v>53.25</v>
      </c>
      <c r="E69" s="3">
        <v>1.5740000000000001</v>
      </c>
      <c r="F69" s="8">
        <v>0.1</v>
      </c>
      <c r="G69">
        <v>35</v>
      </c>
      <c r="T69" s="2"/>
      <c r="U69" s="2"/>
      <c r="V69" s="2"/>
      <c r="W69" s="2"/>
      <c r="X69" s="2"/>
      <c r="Y69" s="2"/>
      <c r="Z69" s="2"/>
      <c r="AA69" s="2"/>
    </row>
    <row r="70" spans="3:27" x14ac:dyDescent="0.25">
      <c r="C70" s="33">
        <v>1330</v>
      </c>
      <c r="D70" s="34">
        <f t="shared" si="0"/>
        <v>55.416666666666664</v>
      </c>
      <c r="E70" s="3">
        <v>1.548</v>
      </c>
      <c r="F70" s="8">
        <v>0.1</v>
      </c>
      <c r="G70">
        <v>35</v>
      </c>
      <c r="T70" s="2"/>
      <c r="U70" s="2"/>
      <c r="V70" s="2"/>
      <c r="W70" s="2"/>
      <c r="X70" s="2"/>
      <c r="Y70" s="2"/>
      <c r="Z70" s="2"/>
      <c r="AA70" s="2"/>
    </row>
    <row r="71" spans="3:27" x14ac:dyDescent="0.25">
      <c r="C71" s="33">
        <v>1348</v>
      </c>
      <c r="D71" s="34">
        <f t="shared" si="0"/>
        <v>56.166666666666664</v>
      </c>
      <c r="E71" s="3">
        <v>1.7</v>
      </c>
      <c r="F71" s="8">
        <v>0.1</v>
      </c>
      <c r="G71">
        <v>35</v>
      </c>
      <c r="T71" s="2"/>
      <c r="U71" s="2"/>
      <c r="V71" s="2"/>
      <c r="W71" s="2"/>
      <c r="X71" s="2"/>
      <c r="Y71" s="2"/>
      <c r="Z71" s="2"/>
      <c r="AA71" s="2"/>
    </row>
    <row r="72" spans="3:27" x14ac:dyDescent="0.25">
      <c r="C72" s="33">
        <v>1376</v>
      </c>
      <c r="D72" s="34">
        <f t="shared" si="0"/>
        <v>57.333333333333336</v>
      </c>
      <c r="E72" s="3">
        <v>1.778</v>
      </c>
      <c r="F72" s="8">
        <v>0.1</v>
      </c>
      <c r="G72">
        <v>35</v>
      </c>
      <c r="T72" s="2"/>
      <c r="U72" s="2"/>
      <c r="V72" s="2"/>
      <c r="W72" s="2"/>
      <c r="X72" s="2"/>
      <c r="Y72" s="2"/>
      <c r="Z72" s="2"/>
      <c r="AA72" s="2"/>
    </row>
    <row r="73" spans="3:27" x14ac:dyDescent="0.25">
      <c r="C73" s="33">
        <v>1396</v>
      </c>
      <c r="D73" s="34">
        <f t="shared" si="0"/>
        <v>58.166666666666664</v>
      </c>
      <c r="E73" s="3">
        <v>1.782</v>
      </c>
      <c r="F73" s="8">
        <v>0.1</v>
      </c>
      <c r="G73">
        <v>35</v>
      </c>
      <c r="T73" s="2"/>
      <c r="U73" s="2"/>
      <c r="V73" s="2"/>
      <c r="W73" s="2"/>
      <c r="X73" s="2"/>
      <c r="Y73" s="2"/>
      <c r="Z73" s="2"/>
      <c r="AA73" s="2"/>
    </row>
    <row r="74" spans="3:27" x14ac:dyDescent="0.25">
      <c r="C74" s="35">
        <v>1423</v>
      </c>
      <c r="D74" s="36">
        <f t="shared" si="0"/>
        <v>59.291666666666664</v>
      </c>
      <c r="E74" s="3">
        <v>2.036</v>
      </c>
      <c r="F74" s="8">
        <v>7.4999999999999997E-2</v>
      </c>
      <c r="G74">
        <v>35</v>
      </c>
      <c r="T74" s="2"/>
      <c r="U74" s="2"/>
      <c r="V74" s="2"/>
      <c r="W74" s="2"/>
      <c r="X74" s="2"/>
      <c r="Y74" s="2"/>
      <c r="Z74" s="2"/>
      <c r="AA74" s="2"/>
    </row>
    <row r="75" spans="3:27" x14ac:dyDescent="0.25">
      <c r="C75" s="35">
        <v>1445</v>
      </c>
      <c r="D75" s="36">
        <f t="shared" si="0"/>
        <v>60.208333333333336</v>
      </c>
      <c r="E75" s="3">
        <v>2.0299999999999998</v>
      </c>
      <c r="F75" s="8">
        <v>7.4999999999999997E-2</v>
      </c>
      <c r="G75">
        <v>35</v>
      </c>
      <c r="T75" s="2"/>
      <c r="U75" s="2"/>
      <c r="V75" s="2"/>
      <c r="W75" s="2"/>
      <c r="X75" s="2"/>
      <c r="Y75" s="2"/>
      <c r="Z75" s="2"/>
      <c r="AA75" s="2"/>
    </row>
    <row r="76" spans="3:27" x14ac:dyDescent="0.25">
      <c r="C76" s="35">
        <v>1471</v>
      </c>
      <c r="D76" s="36">
        <f t="shared" si="0"/>
        <v>61.291666666666664</v>
      </c>
      <c r="E76" s="3">
        <v>1.972</v>
      </c>
      <c r="F76" s="8">
        <v>7.4999999999999997E-2</v>
      </c>
      <c r="G76">
        <v>35</v>
      </c>
      <c r="T76" s="2"/>
      <c r="U76" s="2"/>
      <c r="V76" s="2"/>
      <c r="W76" s="2"/>
      <c r="X76" s="2"/>
      <c r="Y76" s="2"/>
      <c r="Z76" s="2"/>
      <c r="AA76" s="2"/>
    </row>
    <row r="77" spans="3:27" x14ac:dyDescent="0.25">
      <c r="C77" s="35">
        <v>1496</v>
      </c>
      <c r="D77" s="36">
        <f t="shared" si="0"/>
        <v>62.333333333333336</v>
      </c>
      <c r="E77" s="3">
        <v>1.974</v>
      </c>
      <c r="F77" s="8">
        <v>7.4999999999999997E-2</v>
      </c>
      <c r="G77">
        <v>35</v>
      </c>
      <c r="T77" s="2"/>
      <c r="U77" s="2"/>
      <c r="V77" s="2"/>
      <c r="W77" s="2"/>
      <c r="X77" s="2"/>
      <c r="Y77" s="2"/>
      <c r="Z77" s="2"/>
      <c r="AA77" s="2"/>
    </row>
    <row r="78" spans="3:27" x14ac:dyDescent="0.25">
      <c r="C78" s="35">
        <v>1515</v>
      </c>
      <c r="D78" s="36">
        <f t="shared" si="0"/>
        <v>63.125</v>
      </c>
      <c r="E78" s="3">
        <v>1.972</v>
      </c>
      <c r="F78" s="8">
        <v>7.4999999999999997E-2</v>
      </c>
      <c r="G78">
        <v>35</v>
      </c>
      <c r="T78" s="2"/>
      <c r="U78" s="2"/>
      <c r="V78" s="2"/>
      <c r="W78" s="2"/>
      <c r="X78" s="2"/>
      <c r="Y78" s="2"/>
      <c r="Z78" s="2"/>
      <c r="AA78" s="2"/>
    </row>
    <row r="79" spans="3:27" x14ac:dyDescent="0.25">
      <c r="C79" s="35">
        <v>1563</v>
      </c>
      <c r="D79" s="36">
        <f t="shared" si="0"/>
        <v>65.125</v>
      </c>
      <c r="E79" s="3">
        <v>1.9139999999999999</v>
      </c>
      <c r="F79" s="8">
        <v>7.4999999999999997E-2</v>
      </c>
      <c r="G79">
        <v>35</v>
      </c>
      <c r="T79" s="2"/>
      <c r="U79" s="2"/>
      <c r="V79" s="2"/>
      <c r="W79" s="2"/>
      <c r="X79" s="2"/>
      <c r="Y79" s="2"/>
      <c r="Z79" s="2"/>
      <c r="AA79" s="2"/>
    </row>
    <row r="80" spans="3:27" x14ac:dyDescent="0.25">
      <c r="C80" s="37">
        <v>1827</v>
      </c>
      <c r="D80" s="38">
        <f t="shared" si="0"/>
        <v>76.125</v>
      </c>
      <c r="E80" s="3">
        <v>2.0499999999999998</v>
      </c>
      <c r="F80" s="8">
        <v>5.2200000000000003E-2</v>
      </c>
      <c r="G80">
        <v>35</v>
      </c>
      <c r="T80" s="2"/>
      <c r="U80" s="2"/>
      <c r="V80" s="2"/>
      <c r="W80" s="2"/>
      <c r="X80" s="2"/>
      <c r="Y80" s="2"/>
      <c r="Z80" s="2"/>
      <c r="AA80" s="2"/>
    </row>
    <row r="81" spans="3:27" x14ac:dyDescent="0.25">
      <c r="C81" s="39">
        <v>1899</v>
      </c>
      <c r="D81" s="40">
        <f t="shared" ref="D81:D86" si="11">C81/24</f>
        <v>79.125</v>
      </c>
      <c r="E81" s="3">
        <v>1.88</v>
      </c>
      <c r="F81" s="8">
        <v>7.4999999999999997E-2</v>
      </c>
      <c r="G81">
        <v>35</v>
      </c>
      <c r="T81" s="2"/>
      <c r="U81" s="2"/>
      <c r="V81" s="2"/>
      <c r="W81" s="2"/>
      <c r="X81" s="2"/>
      <c r="Y81" s="2"/>
      <c r="Z81" s="2"/>
      <c r="AA81" s="2"/>
    </row>
    <row r="82" spans="3:27" x14ac:dyDescent="0.25">
      <c r="C82" s="39">
        <v>1973</v>
      </c>
      <c r="D82" s="40">
        <f t="shared" si="11"/>
        <v>82.208333333333329</v>
      </c>
      <c r="E82" s="3">
        <v>1.76</v>
      </c>
      <c r="F82" s="8">
        <v>7.4999999999999997E-2</v>
      </c>
      <c r="G82">
        <v>35</v>
      </c>
      <c r="T82" s="2"/>
      <c r="U82" s="2"/>
      <c r="V82" s="2"/>
      <c r="W82" s="2"/>
      <c r="X82" s="2"/>
      <c r="Y82" s="2"/>
      <c r="Z82" s="2"/>
      <c r="AA82" s="2"/>
    </row>
    <row r="83" spans="3:27" x14ac:dyDescent="0.25">
      <c r="C83" s="41">
        <v>2045</v>
      </c>
      <c r="D83" s="42">
        <f t="shared" si="11"/>
        <v>85.208333333333329</v>
      </c>
      <c r="E83" s="3">
        <v>1.84</v>
      </c>
      <c r="F83" s="8">
        <v>0.1</v>
      </c>
      <c r="G83">
        <v>35</v>
      </c>
      <c r="T83" s="2"/>
      <c r="U83" s="2"/>
      <c r="V83" s="2"/>
      <c r="W83" s="2"/>
      <c r="X83" s="2"/>
      <c r="Y83" s="2"/>
      <c r="Z83" s="2"/>
      <c r="AA83" s="2"/>
    </row>
    <row r="84" spans="3:27" x14ac:dyDescent="0.25">
      <c r="C84" s="41">
        <v>2065</v>
      </c>
      <c r="D84" s="42">
        <f t="shared" si="11"/>
        <v>86.041666666666671</v>
      </c>
      <c r="E84" s="3">
        <v>1.65</v>
      </c>
      <c r="F84" s="8">
        <v>0.1</v>
      </c>
      <c r="G84">
        <v>35</v>
      </c>
      <c r="T84" s="2"/>
      <c r="U84" s="2"/>
      <c r="V84" s="2"/>
      <c r="W84" s="2"/>
      <c r="X84" s="2"/>
      <c r="Y84" s="2"/>
      <c r="Z84" s="2"/>
      <c r="AA84" s="2"/>
    </row>
    <row r="85" spans="3:27" x14ac:dyDescent="0.25">
      <c r="C85" s="43">
        <v>2216</v>
      </c>
      <c r="D85" s="44">
        <f t="shared" si="11"/>
        <v>92.333333333333329</v>
      </c>
      <c r="E85" s="3">
        <v>1.6919999999999999</v>
      </c>
      <c r="F85" s="8">
        <v>0.125</v>
      </c>
      <c r="G85">
        <v>35</v>
      </c>
      <c r="T85" s="2"/>
      <c r="U85" s="2"/>
      <c r="V85" s="2"/>
      <c r="W85" s="2"/>
      <c r="X85" s="2"/>
      <c r="Y85" s="2"/>
      <c r="Z85" s="2"/>
      <c r="AA85" s="2"/>
    </row>
    <row r="86" spans="3:27" x14ac:dyDescent="0.25">
      <c r="C86" s="45">
        <v>2378</v>
      </c>
      <c r="D86" s="46">
        <f t="shared" si="11"/>
        <v>99.083333333333329</v>
      </c>
      <c r="E86" s="3">
        <v>1.67</v>
      </c>
      <c r="F86" s="8">
        <v>0.15</v>
      </c>
      <c r="G86">
        <v>35</v>
      </c>
      <c r="T86" s="2"/>
      <c r="U86" s="2"/>
      <c r="V86" s="2"/>
      <c r="W86" s="2"/>
      <c r="X86" s="2"/>
      <c r="Y86" s="2"/>
      <c r="Z86" s="2"/>
      <c r="AA86" s="2"/>
    </row>
    <row r="87" spans="3:27" x14ac:dyDescent="0.25">
      <c r="T87" s="2"/>
      <c r="U87" s="2"/>
      <c r="V87" s="2"/>
      <c r="W87" s="2"/>
      <c r="X87" s="2"/>
      <c r="Y87" s="2"/>
      <c r="Z87" s="2"/>
      <c r="AA87" s="2"/>
    </row>
    <row r="88" spans="3:27" x14ac:dyDescent="0.25">
      <c r="T88" s="2"/>
      <c r="U88" s="2"/>
      <c r="V88" s="2"/>
      <c r="W88" s="2"/>
      <c r="X88" s="2"/>
      <c r="Y88" s="2"/>
      <c r="Z88" s="2"/>
      <c r="AA88" s="2"/>
    </row>
    <row r="89" spans="3:27" x14ac:dyDescent="0.25">
      <c r="T89" s="2"/>
      <c r="U89" s="2"/>
      <c r="V89" s="2"/>
      <c r="W89" s="2"/>
      <c r="X89" s="2"/>
      <c r="Y89" s="2"/>
      <c r="Z89" s="2"/>
      <c r="AA89" s="2"/>
    </row>
    <row r="90" spans="3:27" x14ac:dyDescent="0.25">
      <c r="T90" s="2"/>
      <c r="U90" s="2"/>
      <c r="V90" s="2"/>
      <c r="W90" s="2"/>
      <c r="X90" s="2"/>
      <c r="Y90" s="2"/>
      <c r="Z90" s="2"/>
      <c r="AA90" s="2"/>
    </row>
    <row r="91" spans="3:27" x14ac:dyDescent="0.25">
      <c r="T91" s="2"/>
      <c r="U91" s="2"/>
      <c r="V91" s="2"/>
      <c r="W91" s="2"/>
      <c r="X91" s="2"/>
      <c r="Y91" s="2"/>
      <c r="Z91" s="2"/>
      <c r="AA91" s="2"/>
    </row>
    <row r="92" spans="3:27" x14ac:dyDescent="0.25">
      <c r="T92" s="2"/>
      <c r="U92" s="2"/>
      <c r="V92" s="2"/>
      <c r="W92" s="2"/>
      <c r="X92" s="2"/>
      <c r="Y92" s="2"/>
      <c r="Z92" s="2"/>
      <c r="AA92" s="2"/>
    </row>
    <row r="93" spans="3:27" x14ac:dyDescent="0.25">
      <c r="T93" s="2"/>
      <c r="U93" s="2"/>
      <c r="V93" s="2"/>
      <c r="W93" s="2"/>
      <c r="X93" s="2"/>
      <c r="Y93" s="2"/>
      <c r="Z93" s="2"/>
      <c r="AA93" s="2"/>
    </row>
    <row r="94" spans="3:27" x14ac:dyDescent="0.25">
      <c r="T94" s="2"/>
      <c r="U94" s="2"/>
      <c r="V94" s="2"/>
      <c r="W94" s="2"/>
      <c r="X94" s="2"/>
      <c r="Y94" s="2"/>
      <c r="Z94" s="2"/>
      <c r="AA94" s="2"/>
    </row>
    <row r="95" spans="3:27" x14ac:dyDescent="0.25">
      <c r="T95" s="2"/>
      <c r="U95" s="2"/>
      <c r="V95" s="2"/>
      <c r="W95" s="2"/>
      <c r="X95" s="2"/>
      <c r="Y95" s="2"/>
      <c r="Z95" s="2"/>
      <c r="AA95" s="2"/>
    </row>
    <row r="96" spans="3:27" x14ac:dyDescent="0.25">
      <c r="T96" s="2"/>
      <c r="U96" s="2"/>
      <c r="V96" s="2"/>
      <c r="W96" s="2"/>
      <c r="X96" s="2"/>
      <c r="Y96" s="2"/>
      <c r="Z96" s="2"/>
      <c r="AA96" s="2"/>
    </row>
    <row r="97" spans="20:27" x14ac:dyDescent="0.25">
      <c r="T97" s="2"/>
      <c r="U97" s="2"/>
      <c r="V97" s="2"/>
      <c r="W97" s="2"/>
      <c r="X97" s="2"/>
      <c r="Y97" s="2"/>
      <c r="Z97" s="2"/>
      <c r="AA97" s="2"/>
    </row>
    <row r="98" spans="20:27" x14ac:dyDescent="0.25">
      <c r="T98" s="2"/>
      <c r="U98" s="2"/>
      <c r="V98" s="2"/>
      <c r="W98" s="2"/>
      <c r="X98" s="2"/>
      <c r="Y98" s="2"/>
      <c r="Z98" s="2"/>
      <c r="AA98" s="2"/>
    </row>
    <row r="99" spans="20:27" x14ac:dyDescent="0.25">
      <c r="T99" s="2"/>
      <c r="U99" s="2"/>
      <c r="V99" s="2"/>
      <c r="W99" s="2"/>
      <c r="X99" s="2"/>
      <c r="Y99" s="2"/>
      <c r="Z99" s="2"/>
      <c r="AA99" s="2"/>
    </row>
    <row r="100" spans="20:27" x14ac:dyDescent="0.25">
      <c r="T100" s="2"/>
      <c r="U100" s="2"/>
      <c r="V100" s="2"/>
      <c r="W100" s="2"/>
      <c r="X100" s="2"/>
      <c r="Y100" s="2"/>
      <c r="Z100" s="2"/>
      <c r="AA100" s="2"/>
    </row>
    <row r="101" spans="20:27" x14ac:dyDescent="0.25">
      <c r="T101" s="2"/>
      <c r="U101" s="2"/>
      <c r="V101" s="2"/>
      <c r="W101" s="2"/>
      <c r="X101" s="2"/>
      <c r="Y101" s="2"/>
      <c r="Z101" s="2"/>
      <c r="AA101" s="2"/>
    </row>
    <row r="102" spans="20:27" x14ac:dyDescent="0.25">
      <c r="T102" s="2"/>
      <c r="U102" s="2"/>
      <c r="V102" s="2"/>
      <c r="W102" s="2"/>
      <c r="X102" s="2"/>
      <c r="Y102" s="2"/>
      <c r="Z102" s="2"/>
      <c r="AA102" s="2"/>
    </row>
    <row r="103" spans="20:27" x14ac:dyDescent="0.25">
      <c r="T103" s="2"/>
      <c r="U103" s="2"/>
      <c r="V103" s="2"/>
      <c r="W103" s="2"/>
      <c r="X103" s="2"/>
      <c r="Y103" s="2"/>
      <c r="Z103" s="2"/>
      <c r="AA103" s="2"/>
    </row>
    <row r="104" spans="20:27" x14ac:dyDescent="0.25">
      <c r="T104" s="2"/>
      <c r="U104" s="2"/>
      <c r="V104" s="2"/>
      <c r="W104" s="2"/>
      <c r="X104" s="2"/>
      <c r="Y104" s="2"/>
      <c r="Z104" s="2"/>
      <c r="AA104" s="2"/>
    </row>
    <row r="105" spans="20:27" x14ac:dyDescent="0.25">
      <c r="T105" s="2"/>
      <c r="U105" s="2"/>
      <c r="V105" s="2"/>
      <c r="W105" s="2"/>
      <c r="X105" s="2"/>
      <c r="Y105" s="2"/>
      <c r="Z105" s="2"/>
      <c r="AA105" s="2"/>
    </row>
    <row r="106" spans="20:27" x14ac:dyDescent="0.25">
      <c r="T106" s="2"/>
      <c r="U106" s="2"/>
      <c r="V106" s="2"/>
      <c r="W106" s="2"/>
      <c r="X106" s="2"/>
      <c r="Y106" s="2"/>
      <c r="Z106" s="2"/>
      <c r="AA106" s="2"/>
    </row>
  </sheetData>
  <mergeCells count="2">
    <mergeCell ref="A1:C1"/>
    <mergeCell ref="C14:G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F0EB71-32A3-4A77-8B54-0D96D4F58BFC}">
  <dimension ref="A1:AQ64"/>
  <sheetViews>
    <sheetView topLeftCell="A4" workbookViewId="0">
      <selection activeCell="T26" sqref="T26"/>
    </sheetView>
  </sheetViews>
  <sheetFormatPr defaultRowHeight="15" x14ac:dyDescent="0.25"/>
  <cols>
    <col min="1" max="1" width="12.28515625" customWidth="1"/>
    <col min="3" max="3" width="12.7109375" customWidth="1"/>
  </cols>
  <sheetData>
    <row r="1" spans="1:43" x14ac:dyDescent="0.25">
      <c r="A1" s="1" t="s">
        <v>109</v>
      </c>
      <c r="B1" s="71" t="s">
        <v>72</v>
      </c>
      <c r="C1" s="71"/>
      <c r="D1" s="71"/>
    </row>
    <row r="2" spans="1:43" x14ac:dyDescent="0.25">
      <c r="A2" s="1"/>
      <c r="B2" s="54"/>
    </row>
    <row r="3" spans="1:43" x14ac:dyDescent="0.25">
      <c r="L3" s="70" t="s">
        <v>158</v>
      </c>
      <c r="M3" s="70"/>
      <c r="N3" s="70"/>
      <c r="O3" s="70"/>
      <c r="P3" s="70"/>
      <c r="Q3" s="70"/>
      <c r="R3" s="70"/>
    </row>
    <row r="4" spans="1:43" x14ac:dyDescent="0.25">
      <c r="B4" s="2" t="s">
        <v>116</v>
      </c>
      <c r="C4" s="2" t="s">
        <v>117</v>
      </c>
      <c r="D4" s="2" t="s">
        <v>115</v>
      </c>
      <c r="E4" s="2" t="s">
        <v>99</v>
      </c>
    </row>
    <row r="5" spans="1:43" x14ac:dyDescent="0.25">
      <c r="A5" s="2"/>
      <c r="B5" s="69" t="s">
        <v>145</v>
      </c>
      <c r="C5">
        <v>-1</v>
      </c>
      <c r="D5">
        <v>14553.03</v>
      </c>
      <c r="E5">
        <f>D5/657.3288</f>
        <v>22.139650658848357</v>
      </c>
      <c r="F5" s="53"/>
      <c r="G5" s="53"/>
      <c r="H5" s="53"/>
      <c r="I5" s="53"/>
      <c r="J5" s="53"/>
    </row>
    <row r="6" spans="1:43" x14ac:dyDescent="0.25">
      <c r="B6" s="69"/>
      <c r="C6">
        <v>0</v>
      </c>
      <c r="D6">
        <v>15705.892</v>
      </c>
      <c r="E6">
        <f t="shared" ref="E6:E40" si="0">D6/657.3288</f>
        <v>23.893509610411105</v>
      </c>
      <c r="F6" s="53"/>
      <c r="G6" s="53"/>
      <c r="H6" s="53"/>
      <c r="I6" s="53"/>
      <c r="J6" s="53"/>
    </row>
    <row r="7" spans="1:43" x14ac:dyDescent="0.25">
      <c r="A7" s="55"/>
      <c r="B7" s="69"/>
      <c r="C7">
        <v>1</v>
      </c>
      <c r="D7">
        <v>14910.882</v>
      </c>
      <c r="E7">
        <f t="shared" si="0"/>
        <v>22.684054007674696</v>
      </c>
      <c r="F7" s="53"/>
      <c r="G7" s="53"/>
      <c r="H7" s="53"/>
      <c r="I7" s="53"/>
      <c r="J7" s="53"/>
      <c r="K7" s="2"/>
      <c r="L7" t="s">
        <v>111</v>
      </c>
      <c r="T7" s="66"/>
      <c r="U7" s="66"/>
      <c r="V7" s="66"/>
      <c r="W7" s="66"/>
      <c r="X7" s="66"/>
      <c r="Y7" s="66"/>
      <c r="Z7" s="66"/>
      <c r="AA7" s="66"/>
      <c r="AB7" s="2" t="s">
        <v>110</v>
      </c>
      <c r="AC7" t="s">
        <v>111</v>
      </c>
    </row>
    <row r="8" spans="1:43" x14ac:dyDescent="0.25">
      <c r="B8" s="69"/>
      <c r="C8">
        <v>2</v>
      </c>
      <c r="D8">
        <v>14616.675999999999</v>
      </c>
      <c r="E8">
        <f t="shared" si="0"/>
        <v>22.236475870218982</v>
      </c>
      <c r="F8" s="53"/>
      <c r="G8" s="53"/>
      <c r="H8" s="53"/>
      <c r="I8" s="53"/>
      <c r="J8" s="53"/>
    </row>
    <row r="9" spans="1:43" x14ac:dyDescent="0.25">
      <c r="B9" s="69"/>
      <c r="C9">
        <v>3</v>
      </c>
      <c r="D9">
        <v>13979.13</v>
      </c>
      <c r="E9">
        <f t="shared" si="0"/>
        <v>21.266571615301199</v>
      </c>
      <c r="F9" s="53"/>
      <c r="G9" s="53"/>
      <c r="H9" s="53"/>
      <c r="I9" s="53"/>
      <c r="J9" s="53"/>
      <c r="K9" s="55"/>
      <c r="L9" s="2" t="s">
        <v>155</v>
      </c>
      <c r="AB9" s="2"/>
      <c r="AC9" s="2" t="s">
        <v>155</v>
      </c>
    </row>
    <row r="10" spans="1:43" x14ac:dyDescent="0.25">
      <c r="B10" s="69"/>
      <c r="C10">
        <v>5</v>
      </c>
      <c r="D10">
        <v>9078.9709999999995</v>
      </c>
      <c r="E10">
        <f t="shared" si="0"/>
        <v>13.811917262715401</v>
      </c>
      <c r="F10" s="53"/>
      <c r="G10" s="53"/>
      <c r="H10" s="53"/>
      <c r="I10" s="53"/>
      <c r="J10" s="53"/>
    </row>
    <row r="11" spans="1:43" x14ac:dyDescent="0.25">
      <c r="B11" s="69"/>
      <c r="C11">
        <v>8</v>
      </c>
      <c r="D11">
        <v>2215.0320000000002</v>
      </c>
      <c r="E11">
        <f t="shared" si="0"/>
        <v>3.3697473775681215</v>
      </c>
      <c r="F11" s="53"/>
      <c r="G11" s="53"/>
      <c r="H11" s="53"/>
      <c r="I11" s="53"/>
      <c r="J11" s="53"/>
      <c r="L11" t="s">
        <v>114</v>
      </c>
      <c r="M11" t="s">
        <v>115</v>
      </c>
      <c r="AC11" t="s">
        <v>114</v>
      </c>
      <c r="AD11" t="s">
        <v>115</v>
      </c>
    </row>
    <row r="12" spans="1:43" x14ac:dyDescent="0.25">
      <c r="B12" s="69"/>
      <c r="C12">
        <v>24</v>
      </c>
      <c r="D12">
        <v>0</v>
      </c>
      <c r="E12">
        <f t="shared" si="0"/>
        <v>0</v>
      </c>
      <c r="F12" s="53"/>
      <c r="G12" s="53"/>
      <c r="H12" s="53"/>
      <c r="I12" s="53"/>
      <c r="J12" s="53"/>
      <c r="L12" s="63">
        <v>100</v>
      </c>
      <c r="M12" s="63">
        <v>38930.896999999997</v>
      </c>
      <c r="N12" s="56"/>
      <c r="O12" s="56"/>
      <c r="P12" s="56"/>
      <c r="AC12" s="63">
        <v>100</v>
      </c>
      <c r="AD12" s="63">
        <v>36398.442999999999</v>
      </c>
      <c r="AE12" s="67" t="s">
        <v>157</v>
      </c>
      <c r="AF12" s="67"/>
      <c r="AG12" s="67"/>
      <c r="AH12" s="65"/>
    </row>
    <row r="13" spans="1:43" x14ac:dyDescent="0.25">
      <c r="B13" s="69"/>
      <c r="C13">
        <v>48</v>
      </c>
      <c r="D13">
        <v>0</v>
      </c>
      <c r="E13">
        <f t="shared" si="0"/>
        <v>0</v>
      </c>
      <c r="F13" s="53"/>
      <c r="G13" s="53"/>
      <c r="H13" s="53"/>
      <c r="I13" s="53"/>
      <c r="J13" s="53"/>
      <c r="L13" s="63">
        <f>L12/2</f>
        <v>50</v>
      </c>
      <c r="M13" s="63">
        <v>26488.097000000002</v>
      </c>
      <c r="N13" s="56"/>
      <c r="O13" s="56"/>
      <c r="P13" s="56"/>
      <c r="Y13" cm="1">
        <f t="array" ref="Y13:Z17">LINEST(M14:M21,L14:L21,,TRUE)</f>
        <v>641.92498674515866</v>
      </c>
      <c r="Z13">
        <v>172.10082958946623</v>
      </c>
      <c r="AC13" s="63">
        <f>AC12/2</f>
        <v>50</v>
      </c>
      <c r="AD13" s="63">
        <v>25804.735000000001</v>
      </c>
      <c r="AE13" s="67"/>
      <c r="AF13" s="67"/>
      <c r="AG13" s="67"/>
      <c r="AH13" s="65"/>
      <c r="AP13" cm="1">
        <f t="array" ref="AP13:AQ17">LINEST(AD14:AD21,AC14:AC21,,TRUE)</f>
        <v>657.32876884567372</v>
      </c>
      <c r="AQ13">
        <v>162.12088536018564</v>
      </c>
    </row>
    <row r="14" spans="1:43" x14ac:dyDescent="0.25">
      <c r="B14" s="69"/>
      <c r="C14">
        <v>79</v>
      </c>
      <c r="D14">
        <v>0</v>
      </c>
      <c r="E14">
        <f t="shared" si="0"/>
        <v>0</v>
      </c>
      <c r="F14" s="53"/>
      <c r="G14" s="53"/>
      <c r="H14" s="53"/>
      <c r="I14" s="53"/>
      <c r="J14" s="53"/>
      <c r="L14">
        <f>L13/2</f>
        <v>25</v>
      </c>
      <c r="M14">
        <v>15972.812</v>
      </c>
      <c r="Y14">
        <v>10.006308583743312</v>
      </c>
      <c r="Z14">
        <v>102.12568016315453</v>
      </c>
      <c r="AC14">
        <f>AC13/2</f>
        <v>25</v>
      </c>
      <c r="AD14">
        <v>16300.025</v>
      </c>
      <c r="AP14">
        <v>12.246680773997813</v>
      </c>
      <c r="AQ14">
        <v>124.99120862787477</v>
      </c>
    </row>
    <row r="15" spans="1:43" x14ac:dyDescent="0.25">
      <c r="B15" s="69"/>
      <c r="C15">
        <v>99</v>
      </c>
      <c r="D15">
        <v>0</v>
      </c>
      <c r="E15">
        <f t="shared" si="0"/>
        <v>0</v>
      </c>
      <c r="F15" s="53"/>
      <c r="G15" s="53"/>
      <c r="H15" s="53"/>
      <c r="I15" s="53"/>
      <c r="J15" s="53"/>
      <c r="L15">
        <f t="shared" ref="L15:L21" si="1">L14/2</f>
        <v>12.5</v>
      </c>
      <c r="M15">
        <v>8583.5589999999993</v>
      </c>
      <c r="Y15">
        <v>0.99854421321804143</v>
      </c>
      <c r="Z15">
        <v>228.89247830466408</v>
      </c>
      <c r="AC15">
        <f t="shared" ref="AC15:AC21" si="2">AC14/2</f>
        <v>12.5</v>
      </c>
      <c r="AD15">
        <v>8866.6119999999992</v>
      </c>
      <c r="AP15">
        <v>0.99792164749701795</v>
      </c>
      <c r="AQ15">
        <v>280.14058230430737</v>
      </c>
    </row>
    <row r="16" spans="1:43" x14ac:dyDescent="0.25">
      <c r="B16" s="69"/>
      <c r="C16">
        <v>122</v>
      </c>
      <c r="D16">
        <v>0</v>
      </c>
      <c r="E16">
        <f t="shared" si="0"/>
        <v>0</v>
      </c>
      <c r="F16" s="53"/>
      <c r="G16" s="53"/>
      <c r="H16" s="53"/>
      <c r="I16" s="53"/>
      <c r="J16" s="53"/>
      <c r="L16">
        <f t="shared" si="1"/>
        <v>6.25</v>
      </c>
      <c r="M16">
        <v>4404.5919999999996</v>
      </c>
      <c r="Y16">
        <v>4115.4826747689231</v>
      </c>
      <c r="Z16">
        <v>6</v>
      </c>
      <c r="AC16">
        <f t="shared" si="2"/>
        <v>6.25</v>
      </c>
      <c r="AD16">
        <v>4564.4179999999997</v>
      </c>
      <c r="AP16">
        <v>2880.9020011722055</v>
      </c>
      <c r="AQ16">
        <v>6</v>
      </c>
    </row>
    <row r="17" spans="1:43" x14ac:dyDescent="0.25">
      <c r="B17" s="69"/>
      <c r="C17">
        <v>144</v>
      </c>
      <c r="D17">
        <v>0</v>
      </c>
      <c r="E17">
        <f t="shared" si="0"/>
        <v>0</v>
      </c>
      <c r="F17" s="53"/>
      <c r="G17" s="53"/>
      <c r="H17" s="53"/>
      <c r="I17" s="53"/>
      <c r="J17" s="53"/>
      <c r="L17">
        <f t="shared" si="1"/>
        <v>3.125</v>
      </c>
      <c r="M17">
        <v>2238.1509999999998</v>
      </c>
      <c r="Y17">
        <v>215617407.84346524</v>
      </c>
      <c r="Z17">
        <v>314350.59974670666</v>
      </c>
      <c r="AC17">
        <f t="shared" si="2"/>
        <v>3.125</v>
      </c>
      <c r="AD17">
        <v>2088.7979999999998</v>
      </c>
      <c r="AP17">
        <v>226089575.97968706</v>
      </c>
      <c r="AQ17">
        <v>470872.47512277856</v>
      </c>
    </row>
    <row r="18" spans="1:43" x14ac:dyDescent="0.25">
      <c r="B18" s="69"/>
      <c r="C18">
        <v>169</v>
      </c>
      <c r="D18">
        <v>0</v>
      </c>
      <c r="E18">
        <f t="shared" si="0"/>
        <v>0</v>
      </c>
      <c r="F18" s="53"/>
      <c r="G18" s="53"/>
      <c r="H18" s="53"/>
      <c r="I18" s="53"/>
      <c r="J18" s="53"/>
      <c r="L18">
        <f t="shared" si="1"/>
        <v>1.5625</v>
      </c>
      <c r="M18">
        <v>1133.5630000000001</v>
      </c>
      <c r="AC18">
        <f t="shared" si="2"/>
        <v>1.5625</v>
      </c>
      <c r="AD18">
        <v>1179.6579999999999</v>
      </c>
    </row>
    <row r="19" spans="1:43" x14ac:dyDescent="0.25">
      <c r="B19" s="69"/>
      <c r="C19">
        <v>192</v>
      </c>
      <c r="D19">
        <v>0</v>
      </c>
      <c r="E19">
        <f t="shared" si="0"/>
        <v>0</v>
      </c>
      <c r="F19" s="53"/>
      <c r="G19" s="53"/>
      <c r="H19" s="53"/>
      <c r="I19" s="53"/>
      <c r="J19" s="53"/>
      <c r="L19">
        <f t="shared" si="1"/>
        <v>0.78125</v>
      </c>
      <c r="M19">
        <v>574.73599999999999</v>
      </c>
      <c r="AC19">
        <f t="shared" si="2"/>
        <v>0.78125</v>
      </c>
      <c r="AD19">
        <v>595.29700000000003</v>
      </c>
    </row>
    <row r="20" spans="1:43" x14ac:dyDescent="0.25">
      <c r="B20" s="69"/>
      <c r="C20">
        <v>263</v>
      </c>
      <c r="D20">
        <v>10313.687</v>
      </c>
      <c r="E20">
        <f t="shared" si="0"/>
        <v>15.690301413843422</v>
      </c>
      <c r="F20" s="53"/>
      <c r="G20" s="53"/>
      <c r="H20" s="53"/>
      <c r="I20" s="53"/>
      <c r="J20" s="53"/>
      <c r="L20">
        <f t="shared" si="1"/>
        <v>0.390625</v>
      </c>
      <c r="M20">
        <v>291.07600000000002</v>
      </c>
      <c r="AC20">
        <f t="shared" si="2"/>
        <v>0.390625</v>
      </c>
      <c r="AD20">
        <v>293.601</v>
      </c>
    </row>
    <row r="21" spans="1:43" x14ac:dyDescent="0.25">
      <c r="B21" s="69"/>
      <c r="C21">
        <v>335</v>
      </c>
      <c r="D21">
        <v>1464.5609999999999</v>
      </c>
      <c r="E21">
        <f t="shared" si="0"/>
        <v>2.2280493415167566</v>
      </c>
      <c r="F21" s="53"/>
      <c r="G21" s="53"/>
      <c r="H21" s="53"/>
      <c r="I21" s="53"/>
      <c r="J21" s="53"/>
      <c r="L21">
        <f t="shared" si="1"/>
        <v>0.1953125</v>
      </c>
      <c r="M21">
        <v>149.191</v>
      </c>
      <c r="AC21">
        <f t="shared" si="2"/>
        <v>0.1953125</v>
      </c>
      <c r="AD21">
        <v>146.61199999999999</v>
      </c>
    </row>
    <row r="22" spans="1:43" x14ac:dyDescent="0.25">
      <c r="B22" s="69"/>
      <c r="C22">
        <v>434</v>
      </c>
      <c r="D22">
        <v>3466.6509999999998</v>
      </c>
      <c r="E22">
        <f t="shared" si="0"/>
        <v>5.2738462090813609</v>
      </c>
    </row>
    <row r="23" spans="1:43" x14ac:dyDescent="0.25">
      <c r="B23" s="69"/>
      <c r="C23">
        <v>505</v>
      </c>
      <c r="D23">
        <v>6152.5479999999998</v>
      </c>
      <c r="E23">
        <f t="shared" si="0"/>
        <v>9.3599245917720317</v>
      </c>
    </row>
    <row r="24" spans="1:43" x14ac:dyDescent="0.25">
      <c r="B24" s="69"/>
      <c r="C24">
        <v>578</v>
      </c>
      <c r="D24">
        <v>4707.8130000000001</v>
      </c>
      <c r="E24">
        <f t="shared" si="0"/>
        <v>7.1620367158718743</v>
      </c>
    </row>
    <row r="25" spans="1:43" x14ac:dyDescent="0.25">
      <c r="B25" s="69"/>
      <c r="C25">
        <v>650</v>
      </c>
      <c r="D25">
        <v>3175.93</v>
      </c>
      <c r="E25">
        <f t="shared" si="0"/>
        <v>4.8315698323274434</v>
      </c>
      <c r="AB25" s="2"/>
      <c r="AC25" s="2"/>
      <c r="AF25" s="68"/>
      <c r="AG25" s="68"/>
    </row>
    <row r="26" spans="1:43" x14ac:dyDescent="0.25">
      <c r="B26" s="69"/>
      <c r="C26">
        <v>720</v>
      </c>
      <c r="D26">
        <v>0</v>
      </c>
      <c r="E26">
        <f t="shared" si="0"/>
        <v>0</v>
      </c>
      <c r="I26" s="2"/>
      <c r="J26" s="2"/>
    </row>
    <row r="27" spans="1:43" x14ac:dyDescent="0.25">
      <c r="B27" s="69"/>
      <c r="C27">
        <v>793</v>
      </c>
      <c r="D27">
        <v>0</v>
      </c>
      <c r="E27">
        <f t="shared" si="0"/>
        <v>0</v>
      </c>
    </row>
    <row r="28" spans="1:43" x14ac:dyDescent="0.25">
      <c r="B28" s="69"/>
      <c r="C28">
        <v>864</v>
      </c>
      <c r="D28">
        <v>5449.2169999999996</v>
      </c>
      <c r="E28">
        <f t="shared" si="0"/>
        <v>8.2899410462465664</v>
      </c>
    </row>
    <row r="29" spans="1:43" x14ac:dyDescent="0.25">
      <c r="B29" s="69"/>
      <c r="C29">
        <v>939</v>
      </c>
      <c r="D29">
        <v>6460.915</v>
      </c>
      <c r="E29">
        <f t="shared" si="0"/>
        <v>9.8290459812501751</v>
      </c>
    </row>
    <row r="30" spans="1:43" x14ac:dyDescent="0.25">
      <c r="B30" s="69"/>
      <c r="C30">
        <v>1009</v>
      </c>
      <c r="D30">
        <v>584.13099999999997</v>
      </c>
      <c r="E30">
        <f t="shared" si="0"/>
        <v>0.88864355251131544</v>
      </c>
    </row>
    <row r="31" spans="1:43" x14ac:dyDescent="0.25">
      <c r="A31" s="57"/>
      <c r="B31" s="69"/>
      <c r="C31">
        <v>1084</v>
      </c>
      <c r="D31">
        <v>0</v>
      </c>
      <c r="E31">
        <f t="shared" si="0"/>
        <v>0</v>
      </c>
    </row>
    <row r="32" spans="1:43" x14ac:dyDescent="0.25">
      <c r="A32" s="57"/>
      <c r="B32" s="69"/>
      <c r="C32">
        <v>1155</v>
      </c>
      <c r="D32">
        <v>5890.5429999999997</v>
      </c>
      <c r="E32">
        <f t="shared" si="0"/>
        <v>8.961334114677463</v>
      </c>
    </row>
    <row r="33" spans="1:6" x14ac:dyDescent="0.25">
      <c r="A33" s="57"/>
      <c r="B33" s="69"/>
      <c r="C33">
        <v>1227</v>
      </c>
      <c r="D33">
        <v>5231.63</v>
      </c>
      <c r="E33">
        <f t="shared" si="0"/>
        <v>7.9589240574884288</v>
      </c>
    </row>
    <row r="34" spans="1:6" x14ac:dyDescent="0.25">
      <c r="A34" s="57"/>
      <c r="B34" s="69"/>
      <c r="C34">
        <v>1250</v>
      </c>
      <c r="D34">
        <v>2019.164</v>
      </c>
      <c r="E34">
        <f t="shared" si="0"/>
        <v>3.0717716917317484</v>
      </c>
    </row>
    <row r="35" spans="1:6" x14ac:dyDescent="0.25">
      <c r="A35" s="57"/>
      <c r="B35" s="69"/>
      <c r="C35">
        <v>1278</v>
      </c>
      <c r="D35">
        <v>1374.508</v>
      </c>
      <c r="E35">
        <f t="shared" si="0"/>
        <v>2.0910509321970983</v>
      </c>
    </row>
    <row r="36" spans="1:6" x14ac:dyDescent="0.25">
      <c r="A36" s="57"/>
      <c r="B36" s="69"/>
      <c r="C36">
        <v>1330</v>
      </c>
      <c r="D36">
        <v>1319.7</v>
      </c>
      <c r="E36">
        <f t="shared" si="0"/>
        <v>2.0076710468185786</v>
      </c>
    </row>
    <row r="37" spans="1:6" x14ac:dyDescent="0.25">
      <c r="A37" s="57"/>
      <c r="B37" s="69"/>
      <c r="C37">
        <v>1348</v>
      </c>
      <c r="D37">
        <v>1593.299</v>
      </c>
      <c r="E37">
        <f t="shared" si="0"/>
        <v>2.4238995765893718</v>
      </c>
    </row>
    <row r="38" spans="1:6" x14ac:dyDescent="0.25">
      <c r="A38" s="57"/>
      <c r="B38" s="69"/>
      <c r="C38">
        <v>1396</v>
      </c>
      <c r="D38">
        <v>1885.056</v>
      </c>
      <c r="E38">
        <f t="shared" si="0"/>
        <v>2.8677520291214988</v>
      </c>
    </row>
    <row r="39" spans="1:6" x14ac:dyDescent="0.25">
      <c r="A39" s="57"/>
      <c r="B39" s="69"/>
      <c r="C39">
        <v>1563</v>
      </c>
      <c r="D39">
        <v>1342.5609999999999</v>
      </c>
      <c r="E39">
        <f t="shared" si="0"/>
        <v>2.0424496842371731</v>
      </c>
    </row>
    <row r="40" spans="1:6" x14ac:dyDescent="0.25">
      <c r="A40" s="57"/>
      <c r="B40" s="69"/>
      <c r="C40">
        <v>1827</v>
      </c>
      <c r="D40">
        <v>403.584</v>
      </c>
      <c r="E40">
        <f t="shared" si="0"/>
        <v>0.61397583675019263</v>
      </c>
    </row>
    <row r="41" spans="1:6" x14ac:dyDescent="0.25">
      <c r="A41" s="57"/>
      <c r="B41" s="69"/>
      <c r="C41">
        <v>1827</v>
      </c>
      <c r="D41">
        <v>404.32100000000003</v>
      </c>
      <c r="E41">
        <f>D41/641.925</f>
        <v>0.62985707053004647</v>
      </c>
      <c r="F41" t="s">
        <v>159</v>
      </c>
    </row>
    <row r="42" spans="1:6" x14ac:dyDescent="0.25">
      <c r="A42" s="57"/>
      <c r="B42" s="69"/>
      <c r="C42">
        <v>1973</v>
      </c>
      <c r="D42">
        <v>1984.259</v>
      </c>
      <c r="E42">
        <f t="shared" ref="E42:E46" si="3">D42/641.925</f>
        <v>3.0911072165751454</v>
      </c>
    </row>
    <row r="43" spans="1:6" x14ac:dyDescent="0.25">
      <c r="A43" s="57"/>
      <c r="B43" s="69"/>
      <c r="C43">
        <v>2065</v>
      </c>
      <c r="D43">
        <v>3167.9920000000002</v>
      </c>
      <c r="E43">
        <f t="shared" si="3"/>
        <v>4.935143513650349</v>
      </c>
    </row>
    <row r="44" spans="1:6" x14ac:dyDescent="0.25">
      <c r="A44" s="57"/>
      <c r="B44" s="69"/>
      <c r="C44">
        <v>2216</v>
      </c>
      <c r="D44">
        <v>4446.4830000000002</v>
      </c>
      <c r="E44">
        <f t="shared" si="3"/>
        <v>6.9267951863535471</v>
      </c>
    </row>
    <row r="45" spans="1:6" x14ac:dyDescent="0.25">
      <c r="A45" s="57"/>
      <c r="B45" s="69"/>
      <c r="C45">
        <v>2378</v>
      </c>
      <c r="D45">
        <v>5112.8890000000001</v>
      </c>
      <c r="E45">
        <f t="shared" si="3"/>
        <v>7.9649320403473931</v>
      </c>
    </row>
    <row r="46" spans="1:6" x14ac:dyDescent="0.25">
      <c r="A46" s="57"/>
      <c r="B46" s="69"/>
      <c r="C46">
        <v>2570</v>
      </c>
      <c r="D46">
        <v>5564.174</v>
      </c>
      <c r="E46">
        <f t="shared" si="3"/>
        <v>8.6679503057210745</v>
      </c>
    </row>
    <row r="47" spans="1:6" x14ac:dyDescent="0.25">
      <c r="A47" s="57"/>
    </row>
    <row r="48" spans="1:6" x14ac:dyDescent="0.25">
      <c r="A48" s="57"/>
    </row>
    <row r="49" spans="1:1" x14ac:dyDescent="0.25">
      <c r="A49" s="57"/>
    </row>
    <row r="50" spans="1:1" x14ac:dyDescent="0.25">
      <c r="A50" s="57"/>
    </row>
    <row r="51" spans="1:1" x14ac:dyDescent="0.25">
      <c r="A51" s="57"/>
    </row>
    <row r="52" spans="1:1" x14ac:dyDescent="0.25">
      <c r="A52" s="57"/>
    </row>
    <row r="53" spans="1:1" x14ac:dyDescent="0.25">
      <c r="A53" s="57"/>
    </row>
    <row r="54" spans="1:1" x14ac:dyDescent="0.25">
      <c r="A54" s="57"/>
    </row>
    <row r="55" spans="1:1" x14ac:dyDescent="0.25">
      <c r="A55" s="57"/>
    </row>
    <row r="56" spans="1:1" x14ac:dyDescent="0.25">
      <c r="A56" s="57"/>
    </row>
    <row r="57" spans="1:1" x14ac:dyDescent="0.25">
      <c r="A57" s="57"/>
    </row>
    <row r="58" spans="1:1" x14ac:dyDescent="0.25">
      <c r="A58" s="57"/>
    </row>
    <row r="59" spans="1:1" x14ac:dyDescent="0.25">
      <c r="A59" s="57"/>
    </row>
    <row r="60" spans="1:1" x14ac:dyDescent="0.25">
      <c r="A60" s="57"/>
    </row>
    <row r="61" spans="1:1" x14ac:dyDescent="0.25">
      <c r="A61" s="57"/>
    </row>
    <row r="62" spans="1:1" x14ac:dyDescent="0.25">
      <c r="A62" s="57"/>
    </row>
    <row r="63" spans="1:1" x14ac:dyDescent="0.25">
      <c r="A63" s="57"/>
    </row>
    <row r="64" spans="1:1" x14ac:dyDescent="0.25">
      <c r="A64" s="57"/>
    </row>
  </sheetData>
  <mergeCells count="6">
    <mergeCell ref="B1:D1"/>
    <mergeCell ref="T7:AA7"/>
    <mergeCell ref="AE12:AG13"/>
    <mergeCell ref="AF25:AG25"/>
    <mergeCell ref="B5:B46"/>
    <mergeCell ref="L3:R3"/>
  </mergeCells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07ED2C-50F0-4158-A350-0C8EA40513B1}">
  <dimension ref="A1:AG64"/>
  <sheetViews>
    <sheetView workbookViewId="0">
      <selection activeCell="I11" sqref="I11"/>
    </sheetView>
  </sheetViews>
  <sheetFormatPr defaultRowHeight="15" x14ac:dyDescent="0.25"/>
  <cols>
    <col min="1" max="1" width="14.85546875" customWidth="1"/>
    <col min="23" max="23" width="10.5703125" bestFit="1" customWidth="1"/>
  </cols>
  <sheetData>
    <row r="1" spans="1:33" x14ac:dyDescent="0.25">
      <c r="A1" s="1" t="s">
        <v>0</v>
      </c>
      <c r="B1" s="1" t="s">
        <v>22</v>
      </c>
    </row>
    <row r="2" spans="1:33" x14ac:dyDescent="0.25">
      <c r="A2" s="1" t="s">
        <v>1</v>
      </c>
      <c r="B2" s="4" t="s">
        <v>71</v>
      </c>
    </row>
    <row r="3" spans="1:33" x14ac:dyDescent="0.25">
      <c r="A3" s="1"/>
      <c r="B3" s="1"/>
    </row>
    <row r="4" spans="1:33" x14ac:dyDescent="0.25">
      <c r="A4" s="68" t="s">
        <v>2</v>
      </c>
      <c r="B4" s="68"/>
      <c r="C4" s="68"/>
    </row>
    <row r="5" spans="1:33" x14ac:dyDescent="0.25">
      <c r="A5" t="s">
        <v>3</v>
      </c>
      <c r="B5">
        <v>9.82</v>
      </c>
    </row>
    <row r="7" spans="1:33" x14ac:dyDescent="0.25">
      <c r="A7" t="s">
        <v>4</v>
      </c>
      <c r="B7">
        <v>6.03</v>
      </c>
    </row>
    <row r="8" spans="1:33" x14ac:dyDescent="0.25">
      <c r="A8" t="s">
        <v>5</v>
      </c>
      <c r="B8">
        <v>10.32</v>
      </c>
    </row>
    <row r="9" spans="1:33" x14ac:dyDescent="0.25">
      <c r="A9" t="s">
        <v>6</v>
      </c>
      <c r="B9">
        <v>17.100000000000001</v>
      </c>
    </row>
    <row r="10" spans="1:33" x14ac:dyDescent="0.25">
      <c r="A10" t="s">
        <v>7</v>
      </c>
      <c r="B10">
        <v>24.22</v>
      </c>
    </row>
    <row r="11" spans="1:33" x14ac:dyDescent="0.25">
      <c r="A11" t="s">
        <v>8</v>
      </c>
      <c r="B11">
        <v>32.96</v>
      </c>
    </row>
    <row r="15" spans="1:33" x14ac:dyDescent="0.25">
      <c r="A15" s="2"/>
      <c r="B15" s="2"/>
      <c r="C15" s="2"/>
      <c r="D15" s="66" t="s">
        <v>9</v>
      </c>
      <c r="E15" s="66"/>
      <c r="F15" s="66"/>
      <c r="G15" s="66"/>
      <c r="H15" s="66"/>
      <c r="I15" s="66"/>
      <c r="J15" s="66"/>
      <c r="K15" s="66"/>
      <c r="L15" s="66"/>
      <c r="M15" s="66"/>
      <c r="N15" s="66" t="s">
        <v>10</v>
      </c>
      <c r="O15" s="66"/>
      <c r="P15" s="66"/>
      <c r="Q15" s="66"/>
      <c r="R15" s="66"/>
      <c r="S15" s="66"/>
      <c r="T15" s="66"/>
      <c r="U15" s="66"/>
      <c r="V15" s="66"/>
      <c r="W15" s="2"/>
      <c r="X15" s="66" t="s">
        <v>11</v>
      </c>
      <c r="Y15" s="66"/>
      <c r="Z15" s="66"/>
      <c r="AA15" s="66"/>
      <c r="AB15" s="66"/>
      <c r="AC15" s="66"/>
      <c r="AD15" s="66"/>
      <c r="AE15" s="66"/>
      <c r="AF15" s="66"/>
      <c r="AG15" s="2"/>
    </row>
    <row r="16" spans="1:33" x14ac:dyDescent="0.25">
      <c r="A16" s="2" t="s">
        <v>12</v>
      </c>
      <c r="B16" s="2" t="s">
        <v>13</v>
      </c>
      <c r="C16" s="2" t="s">
        <v>14</v>
      </c>
      <c r="D16" s="2" t="s">
        <v>15</v>
      </c>
      <c r="E16" s="2" t="s">
        <v>4</v>
      </c>
      <c r="F16" s="2" t="s">
        <v>16</v>
      </c>
      <c r="G16" s="2" t="s">
        <v>5</v>
      </c>
      <c r="H16" s="2" t="s">
        <v>17</v>
      </c>
      <c r="I16" s="2" t="s">
        <v>6</v>
      </c>
      <c r="J16" s="2" t="s">
        <v>18</v>
      </c>
      <c r="K16" s="2" t="s">
        <v>7</v>
      </c>
      <c r="L16" s="2" t="s">
        <v>19</v>
      </c>
      <c r="M16" s="2" t="s">
        <v>8</v>
      </c>
      <c r="N16" s="2" t="s">
        <v>4</v>
      </c>
      <c r="O16" s="2" t="s">
        <v>16</v>
      </c>
      <c r="P16" s="2" t="s">
        <v>5</v>
      </c>
      <c r="Q16" s="2" t="s">
        <v>17</v>
      </c>
      <c r="R16" s="2" t="s">
        <v>6</v>
      </c>
      <c r="S16" s="2" t="s">
        <v>18</v>
      </c>
      <c r="T16" s="2" t="s">
        <v>7</v>
      </c>
      <c r="U16" s="2" t="s">
        <v>19</v>
      </c>
      <c r="V16" s="2" t="s">
        <v>8</v>
      </c>
      <c r="W16" s="2" t="s">
        <v>20</v>
      </c>
      <c r="X16" s="2" t="s">
        <v>4</v>
      </c>
      <c r="Y16" s="2" t="s">
        <v>16</v>
      </c>
      <c r="Z16" s="2" t="s">
        <v>5</v>
      </c>
      <c r="AA16" s="2" t="s">
        <v>17</v>
      </c>
      <c r="AB16" s="2" t="s">
        <v>6</v>
      </c>
      <c r="AC16" s="2" t="s">
        <v>18</v>
      </c>
      <c r="AD16" s="2" t="s">
        <v>7</v>
      </c>
      <c r="AE16" s="2" t="s">
        <v>19</v>
      </c>
      <c r="AF16" s="2" t="s">
        <v>8</v>
      </c>
      <c r="AG16" s="2" t="s">
        <v>21</v>
      </c>
    </row>
    <row r="17" spans="1:33" x14ac:dyDescent="0.25">
      <c r="A17" t="s">
        <v>23</v>
      </c>
      <c r="B17">
        <v>9.1999999999999993</v>
      </c>
      <c r="C17">
        <v>0.85</v>
      </c>
      <c r="D17">
        <v>130.1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f>((E17/D17)*(7/3.5)*0.000735*86.2*2)</f>
        <v>0</v>
      </c>
      <c r="O17">
        <f>((F17/D17)*(7/4.5)*0.000735*100.1*2)</f>
        <v>0</v>
      </c>
      <c r="P17">
        <f>((G17/D17)*(7/5.5)*0.000735*114.2*2)</f>
        <v>0</v>
      </c>
      <c r="Q17">
        <f>((H17/D17)*(7/6.5)*0.000735*128.2*2)</f>
        <v>0</v>
      </c>
      <c r="R17">
        <f>((I17/D17)*(7/7.5)*0.000735*142.2*2)</f>
        <v>0</v>
      </c>
      <c r="S17">
        <f>((J17/D17)*(7/8.5)*0.000735*156.2*2)</f>
        <v>0</v>
      </c>
      <c r="T17">
        <f>((K17/D17)*(7/9.5)*0.000735*170.2*2)</f>
        <v>0</v>
      </c>
      <c r="U17">
        <f>((L17/D17)*(7/10.5)*0.000735*184.2*2)</f>
        <v>0</v>
      </c>
      <c r="V17">
        <f>((M17/D17)*(7/11.5)*0.000735*198.2*2)</f>
        <v>0</v>
      </c>
      <c r="W17" s="3">
        <f>SUM(N17:V17)</f>
        <v>0</v>
      </c>
      <c r="X17" t="e">
        <f>(N17/$W17)*100</f>
        <v>#DIV/0!</v>
      </c>
      <c r="Y17" t="e">
        <f t="shared" ref="Y17:AF32" si="0">(O17/$W17)*100</f>
        <v>#DIV/0!</v>
      </c>
      <c r="Z17" t="e">
        <f t="shared" si="0"/>
        <v>#DIV/0!</v>
      </c>
      <c r="AA17" t="e">
        <f t="shared" si="0"/>
        <v>#DIV/0!</v>
      </c>
      <c r="AB17" t="e">
        <f t="shared" si="0"/>
        <v>#DIV/0!</v>
      </c>
      <c r="AC17" t="e">
        <f t="shared" si="0"/>
        <v>#DIV/0!</v>
      </c>
      <c r="AD17" t="e">
        <f t="shared" si="0"/>
        <v>#DIV/0!</v>
      </c>
      <c r="AE17" t="e">
        <f t="shared" si="0"/>
        <v>#DIV/0!</v>
      </c>
      <c r="AF17" t="e">
        <f t="shared" si="0"/>
        <v>#DIV/0!</v>
      </c>
      <c r="AG17" s="3">
        <f>((W17/B17)*100)/C17</f>
        <v>0</v>
      </c>
    </row>
    <row r="18" spans="1:33" x14ac:dyDescent="0.25">
      <c r="A18" t="s">
        <v>24</v>
      </c>
      <c r="B18">
        <v>9.9</v>
      </c>
      <c r="C18">
        <v>0.85</v>
      </c>
      <c r="D18">
        <v>152.9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f t="shared" ref="N18:N39" si="1">((E18/D18)*(7/3.5)*0.000735*86.2*2)</f>
        <v>0</v>
      </c>
      <c r="O18">
        <f t="shared" ref="O18:O39" si="2">((F18/D18)*(7/4.5)*0.000735*100.1*2)</f>
        <v>0</v>
      </c>
      <c r="P18">
        <f t="shared" ref="P18:P39" si="3">((G18/D18)*(7/5.5)*0.000735*114.2*2)</f>
        <v>0</v>
      </c>
      <c r="Q18">
        <f t="shared" ref="Q18:Q39" si="4">((H18/D18)*(7/6.5)*0.000735*128.2*2)</f>
        <v>0</v>
      </c>
      <c r="R18">
        <f t="shared" ref="R18:R39" si="5">((I18/D18)*(7/7.5)*0.000735*142.2*2)</f>
        <v>0</v>
      </c>
      <c r="S18">
        <f t="shared" ref="S18:S39" si="6">((J18/D18)*(7/8.5)*0.000735*156.2*2)</f>
        <v>0</v>
      </c>
      <c r="T18">
        <f t="shared" ref="T18:T39" si="7">((K18/D18)*(7/9.5)*0.000735*170.2*2)</f>
        <v>0</v>
      </c>
      <c r="U18">
        <f t="shared" ref="U18:U39" si="8">((L18/D18)*(7/10.5)*0.000735*184.2*2)</f>
        <v>0</v>
      </c>
      <c r="V18">
        <f t="shared" ref="V18:V39" si="9">((M18/D18)*(7/11.5)*0.000735*198.2*2)</f>
        <v>0</v>
      </c>
      <c r="W18" s="3">
        <f t="shared" ref="W18:W39" si="10">SUM(N18:V18)</f>
        <v>0</v>
      </c>
      <c r="X18" t="e">
        <f t="shared" ref="X18:AF44" si="11">(N18/$W18)*100</f>
        <v>#DIV/0!</v>
      </c>
      <c r="Y18" t="e">
        <f t="shared" si="0"/>
        <v>#DIV/0!</v>
      </c>
      <c r="Z18" t="e">
        <f t="shared" si="0"/>
        <v>#DIV/0!</v>
      </c>
      <c r="AA18" t="e">
        <f t="shared" si="0"/>
        <v>#DIV/0!</v>
      </c>
      <c r="AB18" t="e">
        <f t="shared" si="0"/>
        <v>#DIV/0!</v>
      </c>
      <c r="AC18" t="e">
        <f t="shared" si="0"/>
        <v>#DIV/0!</v>
      </c>
      <c r="AD18" t="e">
        <f t="shared" si="0"/>
        <v>#DIV/0!</v>
      </c>
      <c r="AE18" t="e">
        <f t="shared" si="0"/>
        <v>#DIV/0!</v>
      </c>
      <c r="AF18" t="e">
        <f t="shared" si="0"/>
        <v>#DIV/0!</v>
      </c>
      <c r="AG18" s="3">
        <f t="shared" ref="AG18:AG39" si="12">((W18/B18)*100)/C18</f>
        <v>0</v>
      </c>
    </row>
    <row r="19" spans="1:33" x14ac:dyDescent="0.25">
      <c r="A19" t="s">
        <v>25</v>
      </c>
      <c r="B19">
        <v>13.3</v>
      </c>
      <c r="C19">
        <v>0.85</v>
      </c>
      <c r="D19">
        <v>157.4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f t="shared" si="1"/>
        <v>0</v>
      </c>
      <c r="O19">
        <f t="shared" si="2"/>
        <v>0</v>
      </c>
      <c r="P19">
        <f t="shared" si="3"/>
        <v>0</v>
      </c>
      <c r="Q19">
        <f t="shared" si="4"/>
        <v>0</v>
      </c>
      <c r="R19">
        <f t="shared" si="5"/>
        <v>0</v>
      </c>
      <c r="S19">
        <f t="shared" si="6"/>
        <v>0</v>
      </c>
      <c r="T19">
        <f t="shared" si="7"/>
        <v>0</v>
      </c>
      <c r="U19">
        <f t="shared" si="8"/>
        <v>0</v>
      </c>
      <c r="V19">
        <f t="shared" si="9"/>
        <v>0</v>
      </c>
      <c r="W19" s="3">
        <f t="shared" si="10"/>
        <v>0</v>
      </c>
      <c r="X19" t="e">
        <f t="shared" si="11"/>
        <v>#DIV/0!</v>
      </c>
      <c r="Y19" t="e">
        <f t="shared" si="0"/>
        <v>#DIV/0!</v>
      </c>
      <c r="Z19" t="e">
        <f t="shared" si="0"/>
        <v>#DIV/0!</v>
      </c>
      <c r="AA19" t="e">
        <f t="shared" si="0"/>
        <v>#DIV/0!</v>
      </c>
      <c r="AB19" t="e">
        <f t="shared" si="0"/>
        <v>#DIV/0!</v>
      </c>
      <c r="AC19" t="e">
        <f t="shared" si="0"/>
        <v>#DIV/0!</v>
      </c>
      <c r="AD19" t="e">
        <f t="shared" si="0"/>
        <v>#DIV/0!</v>
      </c>
      <c r="AE19" t="e">
        <f t="shared" si="0"/>
        <v>#DIV/0!</v>
      </c>
      <c r="AF19" t="e">
        <f t="shared" si="0"/>
        <v>#DIV/0!</v>
      </c>
      <c r="AG19" s="3">
        <f t="shared" si="12"/>
        <v>0</v>
      </c>
    </row>
    <row r="20" spans="1:33" x14ac:dyDescent="0.25">
      <c r="A20" t="s">
        <v>26</v>
      </c>
      <c r="B20">
        <v>10</v>
      </c>
      <c r="C20">
        <v>0.85</v>
      </c>
      <c r="D20">
        <v>137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f t="shared" si="1"/>
        <v>0</v>
      </c>
      <c r="O20">
        <f t="shared" si="2"/>
        <v>0</v>
      </c>
      <c r="P20">
        <f t="shared" si="3"/>
        <v>0</v>
      </c>
      <c r="Q20">
        <f t="shared" si="4"/>
        <v>0</v>
      </c>
      <c r="R20">
        <f t="shared" si="5"/>
        <v>0</v>
      </c>
      <c r="S20">
        <f t="shared" si="6"/>
        <v>0</v>
      </c>
      <c r="T20">
        <f t="shared" si="7"/>
        <v>0</v>
      </c>
      <c r="U20">
        <f t="shared" si="8"/>
        <v>0</v>
      </c>
      <c r="V20">
        <f t="shared" si="9"/>
        <v>0</v>
      </c>
      <c r="W20" s="3">
        <f t="shared" si="10"/>
        <v>0</v>
      </c>
      <c r="X20" t="e">
        <f t="shared" si="11"/>
        <v>#DIV/0!</v>
      </c>
      <c r="Y20" t="e">
        <f t="shared" si="0"/>
        <v>#DIV/0!</v>
      </c>
      <c r="Z20" t="e">
        <f t="shared" si="0"/>
        <v>#DIV/0!</v>
      </c>
      <c r="AA20" t="e">
        <f t="shared" si="0"/>
        <v>#DIV/0!</v>
      </c>
      <c r="AB20" t="e">
        <f t="shared" si="0"/>
        <v>#DIV/0!</v>
      </c>
      <c r="AC20" t="e">
        <f t="shared" si="0"/>
        <v>#DIV/0!</v>
      </c>
      <c r="AD20" t="e">
        <f t="shared" si="0"/>
        <v>#DIV/0!</v>
      </c>
      <c r="AE20" t="e">
        <f t="shared" si="0"/>
        <v>#DIV/0!</v>
      </c>
      <c r="AF20" t="e">
        <f t="shared" si="0"/>
        <v>#DIV/0!</v>
      </c>
      <c r="AG20" s="3">
        <f t="shared" si="12"/>
        <v>0</v>
      </c>
    </row>
    <row r="21" spans="1:33" x14ac:dyDescent="0.25">
      <c r="A21" t="s">
        <v>27</v>
      </c>
      <c r="B21">
        <v>11.1</v>
      </c>
      <c r="C21">
        <v>0.85</v>
      </c>
      <c r="D21">
        <v>131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f t="shared" si="1"/>
        <v>0</v>
      </c>
      <c r="O21">
        <f t="shared" si="2"/>
        <v>0</v>
      </c>
      <c r="P21">
        <f t="shared" si="3"/>
        <v>0</v>
      </c>
      <c r="Q21">
        <f t="shared" si="4"/>
        <v>0</v>
      </c>
      <c r="R21">
        <f t="shared" si="5"/>
        <v>0</v>
      </c>
      <c r="S21">
        <f t="shared" si="6"/>
        <v>0</v>
      </c>
      <c r="T21">
        <f t="shared" si="7"/>
        <v>0</v>
      </c>
      <c r="U21">
        <f t="shared" si="8"/>
        <v>0</v>
      </c>
      <c r="V21">
        <f t="shared" si="9"/>
        <v>0</v>
      </c>
      <c r="W21" s="3">
        <f t="shared" si="10"/>
        <v>0</v>
      </c>
      <c r="X21" t="e">
        <f t="shared" si="11"/>
        <v>#DIV/0!</v>
      </c>
      <c r="Y21" t="e">
        <f t="shared" si="0"/>
        <v>#DIV/0!</v>
      </c>
      <c r="Z21" t="e">
        <f t="shared" si="0"/>
        <v>#DIV/0!</v>
      </c>
      <c r="AA21" t="e">
        <f t="shared" si="0"/>
        <v>#DIV/0!</v>
      </c>
      <c r="AB21" t="e">
        <f t="shared" si="0"/>
        <v>#DIV/0!</v>
      </c>
      <c r="AC21" t="e">
        <f t="shared" si="0"/>
        <v>#DIV/0!</v>
      </c>
      <c r="AD21" t="e">
        <f t="shared" si="0"/>
        <v>#DIV/0!</v>
      </c>
      <c r="AE21" t="e">
        <f t="shared" si="0"/>
        <v>#DIV/0!</v>
      </c>
      <c r="AF21" t="e">
        <f t="shared" si="0"/>
        <v>#DIV/0!</v>
      </c>
      <c r="AG21" s="3">
        <f t="shared" si="12"/>
        <v>0</v>
      </c>
    </row>
    <row r="22" spans="1:33" x14ac:dyDescent="0.25">
      <c r="A22" t="s">
        <v>28</v>
      </c>
      <c r="B22">
        <v>10.4</v>
      </c>
      <c r="C22">
        <v>0.85</v>
      </c>
      <c r="D22">
        <v>128.6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f t="shared" si="1"/>
        <v>0</v>
      </c>
      <c r="O22">
        <f t="shared" si="2"/>
        <v>0</v>
      </c>
      <c r="P22">
        <f t="shared" si="3"/>
        <v>0</v>
      </c>
      <c r="Q22">
        <f t="shared" si="4"/>
        <v>0</v>
      </c>
      <c r="R22">
        <f t="shared" si="5"/>
        <v>0</v>
      </c>
      <c r="S22">
        <f t="shared" si="6"/>
        <v>0</v>
      </c>
      <c r="T22">
        <f t="shared" si="7"/>
        <v>0</v>
      </c>
      <c r="U22">
        <f t="shared" si="8"/>
        <v>0</v>
      </c>
      <c r="V22">
        <f t="shared" si="9"/>
        <v>0</v>
      </c>
      <c r="W22" s="3">
        <f t="shared" si="10"/>
        <v>0</v>
      </c>
      <c r="X22" t="e">
        <f t="shared" si="11"/>
        <v>#DIV/0!</v>
      </c>
      <c r="Y22" t="e">
        <f t="shared" si="0"/>
        <v>#DIV/0!</v>
      </c>
      <c r="Z22" t="e">
        <f t="shared" si="0"/>
        <v>#DIV/0!</v>
      </c>
      <c r="AA22" t="e">
        <f t="shared" si="0"/>
        <v>#DIV/0!</v>
      </c>
      <c r="AB22" t="e">
        <f t="shared" si="0"/>
        <v>#DIV/0!</v>
      </c>
      <c r="AC22" t="e">
        <f t="shared" si="0"/>
        <v>#DIV/0!</v>
      </c>
      <c r="AD22" t="e">
        <f t="shared" si="0"/>
        <v>#DIV/0!</v>
      </c>
      <c r="AE22" t="e">
        <f t="shared" si="0"/>
        <v>#DIV/0!</v>
      </c>
      <c r="AF22" t="e">
        <f t="shared" si="0"/>
        <v>#DIV/0!</v>
      </c>
      <c r="AG22" s="3">
        <f t="shared" si="12"/>
        <v>0</v>
      </c>
    </row>
    <row r="23" spans="1:33" x14ac:dyDescent="0.25">
      <c r="A23" t="s">
        <v>29</v>
      </c>
      <c r="B23">
        <v>10.9</v>
      </c>
      <c r="C23">
        <v>0.85</v>
      </c>
      <c r="D23">
        <v>134.4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f t="shared" si="1"/>
        <v>0</v>
      </c>
      <c r="O23">
        <f t="shared" si="2"/>
        <v>0</v>
      </c>
      <c r="P23">
        <f t="shared" si="3"/>
        <v>0</v>
      </c>
      <c r="Q23">
        <f t="shared" si="4"/>
        <v>0</v>
      </c>
      <c r="R23">
        <f t="shared" si="5"/>
        <v>0</v>
      </c>
      <c r="S23">
        <f t="shared" si="6"/>
        <v>0</v>
      </c>
      <c r="T23">
        <f t="shared" si="7"/>
        <v>0</v>
      </c>
      <c r="U23">
        <f t="shared" si="8"/>
        <v>0</v>
      </c>
      <c r="V23">
        <f t="shared" si="9"/>
        <v>0</v>
      </c>
      <c r="W23" s="3">
        <f t="shared" si="10"/>
        <v>0</v>
      </c>
      <c r="X23" t="e">
        <f t="shared" si="11"/>
        <v>#DIV/0!</v>
      </c>
      <c r="Y23" t="e">
        <f t="shared" si="0"/>
        <v>#DIV/0!</v>
      </c>
      <c r="Z23" t="e">
        <f t="shared" si="0"/>
        <v>#DIV/0!</v>
      </c>
      <c r="AA23" t="e">
        <f t="shared" si="0"/>
        <v>#DIV/0!</v>
      </c>
      <c r="AB23" t="e">
        <f t="shared" si="0"/>
        <v>#DIV/0!</v>
      </c>
      <c r="AC23" t="e">
        <f t="shared" si="0"/>
        <v>#DIV/0!</v>
      </c>
      <c r="AD23" t="e">
        <f t="shared" si="0"/>
        <v>#DIV/0!</v>
      </c>
      <c r="AE23" t="e">
        <f t="shared" si="0"/>
        <v>#DIV/0!</v>
      </c>
      <c r="AF23" t="e">
        <f t="shared" si="0"/>
        <v>#DIV/0!</v>
      </c>
      <c r="AG23" s="3">
        <f t="shared" si="12"/>
        <v>0</v>
      </c>
    </row>
    <row r="24" spans="1:33" x14ac:dyDescent="0.25">
      <c r="A24" t="s">
        <v>30</v>
      </c>
      <c r="B24">
        <v>14.9</v>
      </c>
      <c r="C24">
        <v>0.85</v>
      </c>
      <c r="D24">
        <v>137.5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f t="shared" si="1"/>
        <v>0</v>
      </c>
      <c r="O24">
        <f t="shared" si="2"/>
        <v>0</v>
      </c>
      <c r="P24">
        <f t="shared" si="3"/>
        <v>0</v>
      </c>
      <c r="Q24">
        <f t="shared" si="4"/>
        <v>0</v>
      </c>
      <c r="R24">
        <f t="shared" si="5"/>
        <v>0</v>
      </c>
      <c r="S24">
        <f t="shared" si="6"/>
        <v>0</v>
      </c>
      <c r="T24">
        <f t="shared" si="7"/>
        <v>0</v>
      </c>
      <c r="U24">
        <f t="shared" si="8"/>
        <v>0</v>
      </c>
      <c r="V24">
        <f t="shared" si="9"/>
        <v>0</v>
      </c>
      <c r="W24" s="3">
        <f t="shared" si="10"/>
        <v>0</v>
      </c>
      <c r="X24" t="e">
        <f t="shared" si="11"/>
        <v>#DIV/0!</v>
      </c>
      <c r="Y24" t="e">
        <f t="shared" si="0"/>
        <v>#DIV/0!</v>
      </c>
      <c r="Z24" t="e">
        <f t="shared" si="0"/>
        <v>#DIV/0!</v>
      </c>
      <c r="AA24" t="e">
        <f t="shared" si="0"/>
        <v>#DIV/0!</v>
      </c>
      <c r="AB24" t="e">
        <f t="shared" si="0"/>
        <v>#DIV/0!</v>
      </c>
      <c r="AC24" t="e">
        <f t="shared" si="0"/>
        <v>#DIV/0!</v>
      </c>
      <c r="AD24" t="e">
        <f t="shared" si="0"/>
        <v>#DIV/0!</v>
      </c>
      <c r="AE24" t="e">
        <f t="shared" si="0"/>
        <v>#DIV/0!</v>
      </c>
      <c r="AF24" t="e">
        <f t="shared" si="0"/>
        <v>#DIV/0!</v>
      </c>
      <c r="AG24" s="3">
        <f t="shared" si="12"/>
        <v>0</v>
      </c>
    </row>
    <row r="25" spans="1:33" x14ac:dyDescent="0.25">
      <c r="A25" t="s">
        <v>31</v>
      </c>
      <c r="B25">
        <v>10.6</v>
      </c>
      <c r="C25">
        <v>0.85</v>
      </c>
      <c r="D25">
        <v>144.19999999999999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f t="shared" si="1"/>
        <v>0</v>
      </c>
      <c r="O25">
        <f t="shared" si="2"/>
        <v>0</v>
      </c>
      <c r="P25">
        <f t="shared" si="3"/>
        <v>0</v>
      </c>
      <c r="Q25">
        <f t="shared" si="4"/>
        <v>0</v>
      </c>
      <c r="R25">
        <f t="shared" si="5"/>
        <v>0</v>
      </c>
      <c r="S25">
        <f t="shared" si="6"/>
        <v>0</v>
      </c>
      <c r="T25">
        <f t="shared" si="7"/>
        <v>0</v>
      </c>
      <c r="U25">
        <f t="shared" si="8"/>
        <v>0</v>
      </c>
      <c r="V25">
        <f t="shared" si="9"/>
        <v>0</v>
      </c>
      <c r="W25" s="3">
        <f t="shared" si="10"/>
        <v>0</v>
      </c>
      <c r="X25" t="e">
        <f t="shared" si="11"/>
        <v>#DIV/0!</v>
      </c>
      <c r="Y25" t="e">
        <f t="shared" si="0"/>
        <v>#DIV/0!</v>
      </c>
      <c r="Z25" t="e">
        <f t="shared" si="0"/>
        <v>#DIV/0!</v>
      </c>
      <c r="AA25" t="e">
        <f t="shared" si="0"/>
        <v>#DIV/0!</v>
      </c>
      <c r="AB25" t="e">
        <f t="shared" si="0"/>
        <v>#DIV/0!</v>
      </c>
      <c r="AC25" t="e">
        <f t="shared" si="0"/>
        <v>#DIV/0!</v>
      </c>
      <c r="AD25" t="e">
        <f t="shared" si="0"/>
        <v>#DIV/0!</v>
      </c>
      <c r="AE25" t="e">
        <f t="shared" si="0"/>
        <v>#DIV/0!</v>
      </c>
      <c r="AF25" t="e">
        <f t="shared" si="0"/>
        <v>#DIV/0!</v>
      </c>
      <c r="AG25" s="3">
        <f t="shared" si="12"/>
        <v>0</v>
      </c>
    </row>
    <row r="26" spans="1:33" x14ac:dyDescent="0.25">
      <c r="A26" t="s">
        <v>32</v>
      </c>
      <c r="B26">
        <v>9.9</v>
      </c>
      <c r="C26">
        <v>0.85</v>
      </c>
      <c r="D26">
        <v>141.6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f t="shared" si="1"/>
        <v>0</v>
      </c>
      <c r="O26">
        <f t="shared" si="2"/>
        <v>0</v>
      </c>
      <c r="P26">
        <f t="shared" si="3"/>
        <v>0</v>
      </c>
      <c r="Q26">
        <f t="shared" si="4"/>
        <v>0</v>
      </c>
      <c r="R26">
        <f t="shared" si="5"/>
        <v>0</v>
      </c>
      <c r="S26">
        <f t="shared" si="6"/>
        <v>0</v>
      </c>
      <c r="T26">
        <f t="shared" si="7"/>
        <v>0</v>
      </c>
      <c r="U26">
        <f t="shared" si="8"/>
        <v>0</v>
      </c>
      <c r="V26">
        <f t="shared" si="9"/>
        <v>0</v>
      </c>
      <c r="W26" s="3">
        <f t="shared" si="10"/>
        <v>0</v>
      </c>
      <c r="X26" t="e">
        <f t="shared" si="11"/>
        <v>#DIV/0!</v>
      </c>
      <c r="Y26" t="e">
        <f t="shared" si="0"/>
        <v>#DIV/0!</v>
      </c>
      <c r="Z26" t="e">
        <f t="shared" si="0"/>
        <v>#DIV/0!</v>
      </c>
      <c r="AA26" t="e">
        <f t="shared" si="0"/>
        <v>#DIV/0!</v>
      </c>
      <c r="AB26" t="e">
        <f t="shared" si="0"/>
        <v>#DIV/0!</v>
      </c>
      <c r="AC26" t="e">
        <f t="shared" si="0"/>
        <v>#DIV/0!</v>
      </c>
      <c r="AD26" t="e">
        <f t="shared" si="0"/>
        <v>#DIV/0!</v>
      </c>
      <c r="AE26" t="e">
        <f t="shared" si="0"/>
        <v>#DIV/0!</v>
      </c>
      <c r="AF26" t="e">
        <f t="shared" si="0"/>
        <v>#DIV/0!</v>
      </c>
      <c r="AG26" s="3">
        <f t="shared" si="12"/>
        <v>0</v>
      </c>
    </row>
    <row r="27" spans="1:33" x14ac:dyDescent="0.25">
      <c r="A27" t="s">
        <v>33</v>
      </c>
      <c r="B27">
        <v>8.9</v>
      </c>
      <c r="C27">
        <v>0.85</v>
      </c>
      <c r="D27">
        <v>149.6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f t="shared" si="1"/>
        <v>0</v>
      </c>
      <c r="O27">
        <f t="shared" si="2"/>
        <v>0</v>
      </c>
      <c r="P27">
        <f t="shared" si="3"/>
        <v>0</v>
      </c>
      <c r="Q27">
        <f t="shared" si="4"/>
        <v>0</v>
      </c>
      <c r="R27">
        <f t="shared" si="5"/>
        <v>0</v>
      </c>
      <c r="S27">
        <f t="shared" si="6"/>
        <v>0</v>
      </c>
      <c r="T27">
        <f t="shared" si="7"/>
        <v>0</v>
      </c>
      <c r="U27">
        <f t="shared" si="8"/>
        <v>0</v>
      </c>
      <c r="V27">
        <f t="shared" si="9"/>
        <v>0</v>
      </c>
      <c r="W27" s="3">
        <f t="shared" si="10"/>
        <v>0</v>
      </c>
      <c r="X27" t="e">
        <f t="shared" si="11"/>
        <v>#DIV/0!</v>
      </c>
      <c r="Y27" t="e">
        <f t="shared" si="0"/>
        <v>#DIV/0!</v>
      </c>
      <c r="Z27" t="e">
        <f t="shared" si="0"/>
        <v>#DIV/0!</v>
      </c>
      <c r="AA27" t="e">
        <f t="shared" si="0"/>
        <v>#DIV/0!</v>
      </c>
      <c r="AB27" t="e">
        <f t="shared" si="0"/>
        <v>#DIV/0!</v>
      </c>
      <c r="AC27" t="e">
        <f t="shared" si="0"/>
        <v>#DIV/0!</v>
      </c>
      <c r="AD27" t="e">
        <f t="shared" si="0"/>
        <v>#DIV/0!</v>
      </c>
      <c r="AE27" t="e">
        <f t="shared" si="0"/>
        <v>#DIV/0!</v>
      </c>
      <c r="AF27" t="e">
        <f t="shared" si="0"/>
        <v>#DIV/0!</v>
      </c>
      <c r="AG27" s="3">
        <f t="shared" si="12"/>
        <v>0</v>
      </c>
    </row>
    <row r="28" spans="1:33" x14ac:dyDescent="0.25">
      <c r="A28" t="s">
        <v>34</v>
      </c>
      <c r="B28">
        <v>10.7</v>
      </c>
      <c r="C28">
        <v>0.85</v>
      </c>
      <c r="D28">
        <v>146.6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f t="shared" si="1"/>
        <v>0</v>
      </c>
      <c r="O28">
        <f t="shared" si="2"/>
        <v>0</v>
      </c>
      <c r="P28">
        <f t="shared" si="3"/>
        <v>0</v>
      </c>
      <c r="Q28">
        <f t="shared" si="4"/>
        <v>0</v>
      </c>
      <c r="R28">
        <f t="shared" si="5"/>
        <v>0</v>
      </c>
      <c r="S28">
        <f t="shared" si="6"/>
        <v>0</v>
      </c>
      <c r="T28">
        <f t="shared" si="7"/>
        <v>0</v>
      </c>
      <c r="U28">
        <f t="shared" si="8"/>
        <v>0</v>
      </c>
      <c r="V28">
        <f t="shared" si="9"/>
        <v>0</v>
      </c>
      <c r="W28" s="3">
        <f t="shared" si="10"/>
        <v>0</v>
      </c>
      <c r="X28" t="e">
        <f t="shared" si="11"/>
        <v>#DIV/0!</v>
      </c>
      <c r="Y28" t="e">
        <f t="shared" si="0"/>
        <v>#DIV/0!</v>
      </c>
      <c r="Z28" t="e">
        <f t="shared" si="0"/>
        <v>#DIV/0!</v>
      </c>
      <c r="AA28" t="e">
        <f t="shared" si="0"/>
        <v>#DIV/0!</v>
      </c>
      <c r="AB28" t="e">
        <f t="shared" si="0"/>
        <v>#DIV/0!</v>
      </c>
      <c r="AC28" t="e">
        <f t="shared" si="0"/>
        <v>#DIV/0!</v>
      </c>
      <c r="AD28" t="e">
        <f t="shared" si="0"/>
        <v>#DIV/0!</v>
      </c>
      <c r="AE28" t="e">
        <f t="shared" si="0"/>
        <v>#DIV/0!</v>
      </c>
      <c r="AF28" t="e">
        <f t="shared" si="0"/>
        <v>#DIV/0!</v>
      </c>
      <c r="AG28" s="3">
        <f t="shared" si="12"/>
        <v>0</v>
      </c>
    </row>
    <row r="29" spans="1:33" x14ac:dyDescent="0.25">
      <c r="A29" t="s">
        <v>35</v>
      </c>
      <c r="B29">
        <v>9.4</v>
      </c>
      <c r="C29">
        <v>0.85</v>
      </c>
      <c r="D29">
        <v>164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84.7</v>
      </c>
      <c r="L29">
        <v>0</v>
      </c>
      <c r="M29">
        <v>0</v>
      </c>
      <c r="N29">
        <f t="shared" si="1"/>
        <v>0</v>
      </c>
      <c r="O29">
        <f t="shared" si="2"/>
        <v>0</v>
      </c>
      <c r="P29">
        <f t="shared" si="3"/>
        <v>0</v>
      </c>
      <c r="Q29">
        <f t="shared" si="4"/>
        <v>0</v>
      </c>
      <c r="R29">
        <f t="shared" si="5"/>
        <v>0</v>
      </c>
      <c r="S29">
        <f t="shared" si="6"/>
        <v>0</v>
      </c>
      <c r="T29">
        <f t="shared" si="7"/>
        <v>9.5211824518613597E-2</v>
      </c>
      <c r="U29">
        <f t="shared" si="8"/>
        <v>0</v>
      </c>
      <c r="V29">
        <f t="shared" si="9"/>
        <v>0</v>
      </c>
      <c r="W29" s="3">
        <f t="shared" si="10"/>
        <v>9.5211824518613597E-2</v>
      </c>
      <c r="X29">
        <f t="shared" si="11"/>
        <v>0</v>
      </c>
      <c r="Y29">
        <f t="shared" si="0"/>
        <v>0</v>
      </c>
      <c r="Z29">
        <f t="shared" si="0"/>
        <v>0</v>
      </c>
      <c r="AA29">
        <f t="shared" si="0"/>
        <v>0</v>
      </c>
      <c r="AB29">
        <f t="shared" si="0"/>
        <v>0</v>
      </c>
      <c r="AC29">
        <f t="shared" si="0"/>
        <v>0</v>
      </c>
      <c r="AD29">
        <f t="shared" si="0"/>
        <v>100</v>
      </c>
      <c r="AE29">
        <f t="shared" si="0"/>
        <v>0</v>
      </c>
      <c r="AF29">
        <f t="shared" si="0"/>
        <v>0</v>
      </c>
      <c r="AG29" s="3">
        <f t="shared" si="12"/>
        <v>1.1916373531741375</v>
      </c>
    </row>
    <row r="30" spans="1:33" x14ac:dyDescent="0.25">
      <c r="A30" t="s">
        <v>36</v>
      </c>
      <c r="B30">
        <v>12.7</v>
      </c>
      <c r="C30">
        <v>0.85</v>
      </c>
      <c r="D30">
        <v>164.3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123.9</v>
      </c>
      <c r="L30">
        <v>0</v>
      </c>
      <c r="M30">
        <v>0</v>
      </c>
      <c r="N30">
        <f t="shared" si="1"/>
        <v>0</v>
      </c>
      <c r="O30">
        <f t="shared" si="2"/>
        <v>0</v>
      </c>
      <c r="P30">
        <f t="shared" si="3"/>
        <v>0</v>
      </c>
      <c r="Q30">
        <f t="shared" si="4"/>
        <v>0</v>
      </c>
      <c r="R30">
        <f t="shared" si="5"/>
        <v>0</v>
      </c>
      <c r="S30">
        <f t="shared" si="6"/>
        <v>0</v>
      </c>
      <c r="T30">
        <f t="shared" si="7"/>
        <v>0.13902249171925551</v>
      </c>
      <c r="U30">
        <f t="shared" si="8"/>
        <v>0</v>
      </c>
      <c r="V30">
        <f t="shared" si="9"/>
        <v>0</v>
      </c>
      <c r="W30" s="3">
        <f t="shared" si="10"/>
        <v>0.13902249171925551</v>
      </c>
      <c r="X30">
        <f t="shared" si="11"/>
        <v>0</v>
      </c>
      <c r="Y30">
        <f t="shared" si="0"/>
        <v>0</v>
      </c>
      <c r="Z30">
        <f t="shared" si="0"/>
        <v>0</v>
      </c>
      <c r="AA30">
        <f t="shared" si="0"/>
        <v>0</v>
      </c>
      <c r="AB30">
        <f t="shared" si="0"/>
        <v>0</v>
      </c>
      <c r="AC30">
        <f t="shared" si="0"/>
        <v>0</v>
      </c>
      <c r="AD30">
        <f t="shared" si="0"/>
        <v>100</v>
      </c>
      <c r="AE30">
        <f t="shared" si="0"/>
        <v>0</v>
      </c>
      <c r="AF30">
        <f t="shared" si="0"/>
        <v>0</v>
      </c>
      <c r="AG30" s="3">
        <f t="shared" si="12"/>
        <v>1.2878415166211721</v>
      </c>
    </row>
    <row r="31" spans="1:33" x14ac:dyDescent="0.25">
      <c r="A31" t="s">
        <v>37</v>
      </c>
      <c r="B31">
        <v>11.2</v>
      </c>
      <c r="C31">
        <v>0.85</v>
      </c>
      <c r="D31">
        <v>166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95.7</v>
      </c>
      <c r="L31">
        <v>0</v>
      </c>
      <c r="M31">
        <v>0</v>
      </c>
      <c r="N31">
        <f t="shared" si="1"/>
        <v>0</v>
      </c>
      <c r="O31">
        <f t="shared" si="2"/>
        <v>0</v>
      </c>
      <c r="P31">
        <f t="shared" si="3"/>
        <v>0</v>
      </c>
      <c r="Q31">
        <f t="shared" si="4"/>
        <v>0</v>
      </c>
      <c r="R31">
        <f t="shared" si="5"/>
        <v>0</v>
      </c>
      <c r="S31">
        <f t="shared" si="6"/>
        <v>0</v>
      </c>
      <c r="T31">
        <f t="shared" si="7"/>
        <v>0.10628088814204183</v>
      </c>
      <c r="U31">
        <f t="shared" si="8"/>
        <v>0</v>
      </c>
      <c r="V31">
        <f t="shared" si="9"/>
        <v>0</v>
      </c>
      <c r="W31" s="3">
        <f t="shared" si="10"/>
        <v>0.10628088814204183</v>
      </c>
      <c r="X31">
        <f t="shared" si="11"/>
        <v>0</v>
      </c>
      <c r="Y31">
        <f t="shared" si="0"/>
        <v>0</v>
      </c>
      <c r="Z31">
        <f t="shared" si="0"/>
        <v>0</v>
      </c>
      <c r="AA31">
        <f t="shared" si="0"/>
        <v>0</v>
      </c>
      <c r="AB31">
        <f t="shared" si="0"/>
        <v>0</v>
      </c>
      <c r="AC31">
        <f t="shared" si="0"/>
        <v>0</v>
      </c>
      <c r="AD31">
        <f t="shared" si="0"/>
        <v>100</v>
      </c>
      <c r="AE31">
        <f t="shared" si="0"/>
        <v>0</v>
      </c>
      <c r="AF31">
        <f t="shared" si="0"/>
        <v>0</v>
      </c>
      <c r="AG31" s="3">
        <f t="shared" si="12"/>
        <v>1.1163958838449772</v>
      </c>
    </row>
    <row r="32" spans="1:33" x14ac:dyDescent="0.25">
      <c r="A32" t="s">
        <v>39</v>
      </c>
      <c r="B32">
        <v>10.3</v>
      </c>
      <c r="C32">
        <v>0.85</v>
      </c>
      <c r="D32">
        <v>159.30000000000001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112.5</v>
      </c>
      <c r="L32">
        <v>0</v>
      </c>
      <c r="M32">
        <v>0</v>
      </c>
      <c r="N32">
        <f t="shared" si="1"/>
        <v>0</v>
      </c>
      <c r="O32">
        <f t="shared" si="2"/>
        <v>0</v>
      </c>
      <c r="P32">
        <f t="shared" si="3"/>
        <v>0</v>
      </c>
      <c r="Q32">
        <f t="shared" si="4"/>
        <v>0</v>
      </c>
      <c r="R32">
        <f t="shared" si="5"/>
        <v>0</v>
      </c>
      <c r="S32">
        <f t="shared" si="6"/>
        <v>0</v>
      </c>
      <c r="T32">
        <f t="shared" si="7"/>
        <v>0.13019313113291703</v>
      </c>
      <c r="U32">
        <f t="shared" si="8"/>
        <v>0</v>
      </c>
      <c r="V32">
        <f t="shared" si="9"/>
        <v>0</v>
      </c>
      <c r="W32" s="3">
        <f t="shared" si="10"/>
        <v>0.13019313113291703</v>
      </c>
      <c r="X32">
        <f t="shared" si="11"/>
        <v>0</v>
      </c>
      <c r="Y32">
        <f t="shared" si="0"/>
        <v>0</v>
      </c>
      <c r="Z32">
        <f t="shared" si="0"/>
        <v>0</v>
      </c>
      <c r="AA32">
        <f t="shared" si="0"/>
        <v>0</v>
      </c>
      <c r="AB32">
        <f t="shared" si="0"/>
        <v>0</v>
      </c>
      <c r="AC32">
        <f t="shared" si="0"/>
        <v>0</v>
      </c>
      <c r="AD32">
        <f t="shared" si="0"/>
        <v>100</v>
      </c>
      <c r="AE32">
        <f t="shared" si="0"/>
        <v>0</v>
      </c>
      <c r="AF32">
        <f t="shared" si="0"/>
        <v>0</v>
      </c>
      <c r="AG32" s="3">
        <f t="shared" si="12"/>
        <v>1.4870717433799774</v>
      </c>
    </row>
    <row r="33" spans="1:33" x14ac:dyDescent="0.25">
      <c r="A33" t="s">
        <v>38</v>
      </c>
      <c r="B33">
        <v>10.1</v>
      </c>
      <c r="C33">
        <v>0.85</v>
      </c>
      <c r="D33">
        <v>155.80000000000001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122.5</v>
      </c>
      <c r="L33">
        <v>0</v>
      </c>
      <c r="M33">
        <v>0</v>
      </c>
      <c r="N33">
        <f t="shared" si="1"/>
        <v>0</v>
      </c>
      <c r="O33">
        <f t="shared" si="2"/>
        <v>0</v>
      </c>
      <c r="P33">
        <f t="shared" si="3"/>
        <v>0</v>
      </c>
      <c r="Q33">
        <f t="shared" si="4"/>
        <v>0</v>
      </c>
      <c r="R33">
        <f t="shared" si="5"/>
        <v>0</v>
      </c>
      <c r="S33">
        <f t="shared" si="6"/>
        <v>0</v>
      </c>
      <c r="T33">
        <f t="shared" si="7"/>
        <v>0.14495058104182149</v>
      </c>
      <c r="U33">
        <f t="shared" si="8"/>
        <v>0</v>
      </c>
      <c r="V33">
        <f t="shared" si="9"/>
        <v>0</v>
      </c>
      <c r="W33" s="3">
        <f t="shared" si="10"/>
        <v>0.14495058104182149</v>
      </c>
      <c r="X33">
        <f t="shared" si="11"/>
        <v>0</v>
      </c>
      <c r="Y33">
        <f t="shared" si="11"/>
        <v>0</v>
      </c>
      <c r="Z33">
        <f t="shared" si="11"/>
        <v>0</v>
      </c>
      <c r="AA33">
        <f t="shared" si="11"/>
        <v>0</v>
      </c>
      <c r="AB33">
        <f t="shared" si="11"/>
        <v>0</v>
      </c>
      <c r="AC33">
        <f t="shared" si="11"/>
        <v>0</v>
      </c>
      <c r="AD33">
        <f t="shared" si="11"/>
        <v>100</v>
      </c>
      <c r="AE33">
        <f t="shared" si="11"/>
        <v>0</v>
      </c>
      <c r="AF33">
        <f t="shared" si="11"/>
        <v>0</v>
      </c>
      <c r="AG33" s="3">
        <f t="shared" si="12"/>
        <v>1.6884167855774199</v>
      </c>
    </row>
    <row r="34" spans="1:33" x14ac:dyDescent="0.25">
      <c r="A34" t="s">
        <v>40</v>
      </c>
      <c r="B34">
        <v>9</v>
      </c>
      <c r="C34">
        <v>0.85</v>
      </c>
      <c r="D34">
        <v>168.3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144.9</v>
      </c>
      <c r="L34">
        <v>0</v>
      </c>
      <c r="M34">
        <v>0</v>
      </c>
      <c r="N34">
        <f t="shared" si="1"/>
        <v>0</v>
      </c>
      <c r="O34">
        <f t="shared" si="2"/>
        <v>0</v>
      </c>
      <c r="P34">
        <f t="shared" si="3"/>
        <v>0</v>
      </c>
      <c r="Q34">
        <f t="shared" si="4"/>
        <v>0</v>
      </c>
      <c r="R34">
        <f t="shared" si="5"/>
        <v>0</v>
      </c>
      <c r="S34">
        <f t="shared" si="6"/>
        <v>0</v>
      </c>
      <c r="T34">
        <f t="shared" si="7"/>
        <v>0.15872143990993523</v>
      </c>
      <c r="U34">
        <f t="shared" si="8"/>
        <v>0</v>
      </c>
      <c r="V34">
        <f t="shared" si="9"/>
        <v>0</v>
      </c>
      <c r="W34" s="3">
        <f t="shared" si="10"/>
        <v>0.15872143990993523</v>
      </c>
      <c r="X34">
        <f t="shared" si="11"/>
        <v>0</v>
      </c>
      <c r="Y34">
        <f t="shared" si="11"/>
        <v>0</v>
      </c>
      <c r="Z34">
        <f t="shared" si="11"/>
        <v>0</v>
      </c>
      <c r="AA34">
        <f t="shared" si="11"/>
        <v>0</v>
      </c>
      <c r="AB34">
        <f t="shared" si="11"/>
        <v>0</v>
      </c>
      <c r="AC34">
        <f t="shared" si="11"/>
        <v>0</v>
      </c>
      <c r="AD34">
        <f t="shared" si="11"/>
        <v>100</v>
      </c>
      <c r="AE34">
        <f t="shared" si="11"/>
        <v>0</v>
      </c>
      <c r="AF34">
        <f t="shared" si="11"/>
        <v>0</v>
      </c>
      <c r="AG34" s="3">
        <f t="shared" si="12"/>
        <v>2.0747900641821602</v>
      </c>
    </row>
    <row r="35" spans="1:33" x14ac:dyDescent="0.25">
      <c r="A35" t="s">
        <v>41</v>
      </c>
      <c r="B35">
        <v>8.6999999999999993</v>
      </c>
      <c r="C35">
        <v>0.85</v>
      </c>
      <c r="D35">
        <v>171.5</v>
      </c>
      <c r="E35">
        <v>0</v>
      </c>
      <c r="F35">
        <v>0</v>
      </c>
      <c r="G35">
        <v>0</v>
      </c>
      <c r="H35">
        <v>0</v>
      </c>
      <c r="I35">
        <v>27.3</v>
      </c>
      <c r="J35">
        <v>0</v>
      </c>
      <c r="K35">
        <v>156</v>
      </c>
      <c r="L35">
        <v>0</v>
      </c>
      <c r="M35">
        <v>0</v>
      </c>
      <c r="N35">
        <f t="shared" si="1"/>
        <v>0</v>
      </c>
      <c r="O35">
        <f t="shared" si="2"/>
        <v>0</v>
      </c>
      <c r="P35">
        <f t="shared" si="3"/>
        <v>0</v>
      </c>
      <c r="Q35">
        <f t="shared" si="4"/>
        <v>0</v>
      </c>
      <c r="R35">
        <f t="shared" si="5"/>
        <v>3.1056479999999997E-2</v>
      </c>
      <c r="S35">
        <f t="shared" si="6"/>
        <v>0</v>
      </c>
      <c r="T35">
        <f t="shared" si="7"/>
        <v>0.16769178947368418</v>
      </c>
      <c r="U35">
        <f t="shared" si="8"/>
        <v>0</v>
      </c>
      <c r="V35">
        <f t="shared" si="9"/>
        <v>0</v>
      </c>
      <c r="W35" s="3">
        <f t="shared" si="10"/>
        <v>0.19874826947368418</v>
      </c>
      <c r="X35">
        <f t="shared" si="11"/>
        <v>0</v>
      </c>
      <c r="Y35">
        <f t="shared" si="11"/>
        <v>0</v>
      </c>
      <c r="Z35">
        <f t="shared" si="11"/>
        <v>0</v>
      </c>
      <c r="AA35">
        <f t="shared" si="11"/>
        <v>0</v>
      </c>
      <c r="AB35">
        <f t="shared" si="11"/>
        <v>15.626037943496215</v>
      </c>
      <c r="AC35">
        <f t="shared" si="11"/>
        <v>0</v>
      </c>
      <c r="AD35">
        <f t="shared" si="11"/>
        <v>84.373962056503785</v>
      </c>
      <c r="AE35">
        <f t="shared" si="11"/>
        <v>0</v>
      </c>
      <c r="AF35">
        <f t="shared" si="11"/>
        <v>0</v>
      </c>
      <c r="AG35" s="3">
        <f t="shared" si="12"/>
        <v>2.6876033735454254</v>
      </c>
    </row>
    <row r="36" spans="1:33" x14ac:dyDescent="0.25">
      <c r="A36" t="s">
        <v>42</v>
      </c>
      <c r="B36">
        <v>9.1</v>
      </c>
      <c r="C36">
        <v>0.85</v>
      </c>
      <c r="D36">
        <v>163.69999999999999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146.4</v>
      </c>
      <c r="L36">
        <v>0</v>
      </c>
      <c r="M36">
        <v>0</v>
      </c>
      <c r="N36">
        <f t="shared" si="1"/>
        <v>0</v>
      </c>
      <c r="O36">
        <f t="shared" si="2"/>
        <v>0</v>
      </c>
      <c r="P36">
        <f t="shared" si="3"/>
        <v>0</v>
      </c>
      <c r="Q36">
        <f t="shared" si="4"/>
        <v>0</v>
      </c>
      <c r="R36">
        <f t="shared" si="5"/>
        <v>0</v>
      </c>
      <c r="S36">
        <f t="shared" si="6"/>
        <v>0</v>
      </c>
      <c r="T36">
        <f t="shared" si="7"/>
        <v>0.16487079137060731</v>
      </c>
      <c r="U36">
        <f t="shared" si="8"/>
        <v>0</v>
      </c>
      <c r="V36">
        <f t="shared" si="9"/>
        <v>0</v>
      </c>
      <c r="W36" s="3">
        <f t="shared" si="10"/>
        <v>0.16487079137060731</v>
      </c>
      <c r="X36">
        <f t="shared" si="11"/>
        <v>0</v>
      </c>
      <c r="Y36">
        <f t="shared" si="11"/>
        <v>0</v>
      </c>
      <c r="Z36">
        <f t="shared" si="11"/>
        <v>0</v>
      </c>
      <c r="AA36">
        <f t="shared" si="11"/>
        <v>0</v>
      </c>
      <c r="AB36">
        <f t="shared" si="11"/>
        <v>0</v>
      </c>
      <c r="AC36">
        <f t="shared" si="11"/>
        <v>0</v>
      </c>
      <c r="AD36">
        <f t="shared" si="11"/>
        <v>100</v>
      </c>
      <c r="AE36">
        <f t="shared" si="11"/>
        <v>0</v>
      </c>
      <c r="AF36">
        <f t="shared" si="11"/>
        <v>0</v>
      </c>
      <c r="AG36" s="3">
        <f t="shared" si="12"/>
        <v>2.1314905154571084</v>
      </c>
    </row>
    <row r="37" spans="1:33" x14ac:dyDescent="0.25">
      <c r="A37" t="s">
        <v>43</v>
      </c>
      <c r="B37">
        <v>11.3</v>
      </c>
      <c r="C37">
        <v>0.85</v>
      </c>
      <c r="D37">
        <v>166.1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183.8</v>
      </c>
      <c r="L37">
        <v>0</v>
      </c>
      <c r="M37">
        <v>0</v>
      </c>
      <c r="N37">
        <f t="shared" si="1"/>
        <v>0</v>
      </c>
      <c r="O37">
        <f t="shared" si="2"/>
        <v>0</v>
      </c>
      <c r="P37">
        <f t="shared" si="3"/>
        <v>0</v>
      </c>
      <c r="Q37">
        <f t="shared" si="4"/>
        <v>0</v>
      </c>
      <c r="R37">
        <f t="shared" si="5"/>
        <v>0</v>
      </c>
      <c r="S37">
        <f t="shared" si="6"/>
        <v>0</v>
      </c>
      <c r="T37">
        <f t="shared" si="7"/>
        <v>0.20399860603948158</v>
      </c>
      <c r="U37">
        <f t="shared" si="8"/>
        <v>0</v>
      </c>
      <c r="V37">
        <f t="shared" si="9"/>
        <v>0</v>
      </c>
      <c r="W37" s="3">
        <f t="shared" si="10"/>
        <v>0.20399860603948158</v>
      </c>
      <c r="X37">
        <f t="shared" si="11"/>
        <v>0</v>
      </c>
      <c r="Y37">
        <f t="shared" si="11"/>
        <v>0</v>
      </c>
      <c r="Z37">
        <f t="shared" si="11"/>
        <v>0</v>
      </c>
      <c r="AA37">
        <f t="shared" si="11"/>
        <v>0</v>
      </c>
      <c r="AB37">
        <f t="shared" si="11"/>
        <v>0</v>
      </c>
      <c r="AC37">
        <f t="shared" si="11"/>
        <v>0</v>
      </c>
      <c r="AD37">
        <f t="shared" si="11"/>
        <v>100</v>
      </c>
      <c r="AE37">
        <f t="shared" si="11"/>
        <v>0</v>
      </c>
      <c r="AF37">
        <f t="shared" si="11"/>
        <v>0</v>
      </c>
      <c r="AG37" s="3">
        <f t="shared" si="12"/>
        <v>2.1238792924464502</v>
      </c>
    </row>
    <row r="38" spans="1:33" x14ac:dyDescent="0.25">
      <c r="A38" t="s">
        <v>44</v>
      </c>
      <c r="B38">
        <v>11.5</v>
      </c>
      <c r="C38">
        <v>0.85</v>
      </c>
      <c r="D38">
        <v>169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165.5</v>
      </c>
      <c r="L38">
        <v>0</v>
      </c>
      <c r="M38">
        <v>0</v>
      </c>
      <c r="N38">
        <f t="shared" si="1"/>
        <v>0</v>
      </c>
      <c r="O38">
        <f t="shared" si="2"/>
        <v>0</v>
      </c>
      <c r="P38">
        <f t="shared" si="3"/>
        <v>0</v>
      </c>
      <c r="Q38">
        <f t="shared" si="4"/>
        <v>0</v>
      </c>
      <c r="R38">
        <f t="shared" si="5"/>
        <v>0</v>
      </c>
      <c r="S38">
        <f t="shared" si="6"/>
        <v>0</v>
      </c>
      <c r="T38">
        <f t="shared" si="7"/>
        <v>0.18053550233572094</v>
      </c>
      <c r="U38">
        <f t="shared" si="8"/>
        <v>0</v>
      </c>
      <c r="V38">
        <f t="shared" si="9"/>
        <v>0</v>
      </c>
      <c r="W38" s="3">
        <f t="shared" si="10"/>
        <v>0.18053550233572094</v>
      </c>
      <c r="X38">
        <f t="shared" si="11"/>
        <v>0</v>
      </c>
      <c r="Y38">
        <f t="shared" si="11"/>
        <v>0</v>
      </c>
      <c r="Z38">
        <f t="shared" si="11"/>
        <v>0</v>
      </c>
      <c r="AA38">
        <f t="shared" si="11"/>
        <v>0</v>
      </c>
      <c r="AB38">
        <f t="shared" si="11"/>
        <v>0</v>
      </c>
      <c r="AC38">
        <f t="shared" si="11"/>
        <v>0</v>
      </c>
      <c r="AD38">
        <f t="shared" si="11"/>
        <v>100</v>
      </c>
      <c r="AE38">
        <f t="shared" si="11"/>
        <v>0</v>
      </c>
      <c r="AF38">
        <f t="shared" si="11"/>
        <v>0</v>
      </c>
      <c r="AG38" s="3">
        <f t="shared" si="12"/>
        <v>1.8469105098283474</v>
      </c>
    </row>
    <row r="39" spans="1:33" x14ac:dyDescent="0.25">
      <c r="A39" t="s">
        <v>45</v>
      </c>
      <c r="B39">
        <v>12</v>
      </c>
      <c r="C39">
        <v>0.85</v>
      </c>
      <c r="D39">
        <v>172.3</v>
      </c>
      <c r="E39">
        <v>0</v>
      </c>
      <c r="F39">
        <v>0</v>
      </c>
      <c r="G39">
        <v>0</v>
      </c>
      <c r="H39">
        <v>0</v>
      </c>
      <c r="I39">
        <v>31.3</v>
      </c>
      <c r="J39">
        <v>0</v>
      </c>
      <c r="K39">
        <v>193.1</v>
      </c>
      <c r="L39">
        <v>0</v>
      </c>
      <c r="M39">
        <v>0</v>
      </c>
      <c r="N39">
        <f t="shared" si="1"/>
        <v>0</v>
      </c>
      <c r="O39">
        <f t="shared" si="2"/>
        <v>0</v>
      </c>
      <c r="P39">
        <f t="shared" si="3"/>
        <v>0</v>
      </c>
      <c r="Q39">
        <f t="shared" si="4"/>
        <v>0</v>
      </c>
      <c r="R39">
        <f t="shared" si="5"/>
        <v>3.54415549622751E-2</v>
      </c>
      <c r="S39">
        <f t="shared" si="6"/>
        <v>0</v>
      </c>
      <c r="T39">
        <f t="shared" si="7"/>
        <v>0.20660856510981457</v>
      </c>
      <c r="U39">
        <f t="shared" si="8"/>
        <v>0</v>
      </c>
      <c r="V39">
        <f t="shared" si="9"/>
        <v>0</v>
      </c>
      <c r="W39" s="3">
        <f t="shared" si="10"/>
        <v>0.24205012007208968</v>
      </c>
      <c r="X39">
        <f t="shared" si="11"/>
        <v>0</v>
      </c>
      <c r="Y39">
        <f t="shared" si="11"/>
        <v>0</v>
      </c>
      <c r="Z39">
        <f t="shared" si="11"/>
        <v>0</v>
      </c>
      <c r="AA39">
        <f t="shared" si="11"/>
        <v>0</v>
      </c>
      <c r="AB39">
        <f t="shared" si="11"/>
        <v>14.642238124781578</v>
      </c>
      <c r="AC39">
        <f t="shared" si="11"/>
        <v>0</v>
      </c>
      <c r="AD39">
        <f t="shared" si="11"/>
        <v>85.357761875218415</v>
      </c>
      <c r="AE39">
        <f t="shared" si="11"/>
        <v>0</v>
      </c>
      <c r="AF39">
        <f t="shared" si="11"/>
        <v>0</v>
      </c>
      <c r="AG39" s="3">
        <f t="shared" si="12"/>
        <v>2.3730403928636243</v>
      </c>
    </row>
    <row r="40" spans="1:33" x14ac:dyDescent="0.25">
      <c r="A40" t="s">
        <v>46</v>
      </c>
      <c r="B40">
        <v>13</v>
      </c>
      <c r="C40">
        <v>0.85</v>
      </c>
      <c r="D40">
        <v>168.2</v>
      </c>
      <c r="E40">
        <v>0</v>
      </c>
      <c r="F40">
        <v>0</v>
      </c>
      <c r="G40">
        <v>0</v>
      </c>
      <c r="H40">
        <v>0</v>
      </c>
      <c r="I40">
        <v>32.6</v>
      </c>
      <c r="J40">
        <v>0</v>
      </c>
      <c r="K40">
        <v>189.2</v>
      </c>
      <c r="L40">
        <v>0</v>
      </c>
      <c r="M40">
        <v>0</v>
      </c>
      <c r="N40">
        <f>((E40/D40)*(7/3.5)*0.000735*86.2*2)</f>
        <v>0</v>
      </c>
      <c r="O40">
        <f>((F40/D40)*(7/4.5)*0.000735*100.1*2)</f>
        <v>0</v>
      </c>
      <c r="P40">
        <f>((G40/D40)*(7/5.5)*0.000735*114.2*2)</f>
        <v>0</v>
      </c>
      <c r="Q40">
        <f>((H40/D40)*(7/6.5)*0.000735*128.2*2)</f>
        <v>0</v>
      </c>
      <c r="R40">
        <f>((I40/D40)*(7/7.5)*0.000735*142.2*2)</f>
        <v>3.7813364090368611E-2</v>
      </c>
      <c r="S40">
        <f>((J40/D40)*(7/8.5)*0.000735*156.2*2)</f>
        <v>0</v>
      </c>
      <c r="T40">
        <f>((K40/D40)*(7/9.5)*0.000735*170.2*2)</f>
        <v>0.20737025696226297</v>
      </c>
      <c r="U40">
        <f>((L40/D40)*(7/10.5)*0.000735*184.2*2)</f>
        <v>0</v>
      </c>
      <c r="V40">
        <f>((M40/D40)*(7/11.5)*0.000735*198.2*2)</f>
        <v>0</v>
      </c>
      <c r="W40" s="3">
        <f>SUM(N40:V40)</f>
        <v>0.24518362105263158</v>
      </c>
      <c r="X40">
        <f t="shared" si="11"/>
        <v>0</v>
      </c>
      <c r="Y40">
        <f t="shared" si="11"/>
        <v>0</v>
      </c>
      <c r="Z40">
        <f t="shared" si="11"/>
        <v>0</v>
      </c>
      <c r="AA40">
        <f t="shared" si="11"/>
        <v>0</v>
      </c>
      <c r="AB40">
        <f t="shared" si="11"/>
        <v>15.422467425852856</v>
      </c>
      <c r="AC40">
        <f t="shared" si="11"/>
        <v>0</v>
      </c>
      <c r="AD40">
        <f t="shared" si="11"/>
        <v>84.577532574147142</v>
      </c>
      <c r="AE40">
        <f t="shared" si="11"/>
        <v>0</v>
      </c>
      <c r="AF40">
        <f t="shared" si="11"/>
        <v>0</v>
      </c>
      <c r="AG40" s="3">
        <f>((W40/B40)*100)/C40</f>
        <v>2.2188562991188379</v>
      </c>
    </row>
    <row r="41" spans="1:33" x14ac:dyDescent="0.25">
      <c r="A41" t="s">
        <v>47</v>
      </c>
      <c r="B41">
        <v>12.9</v>
      </c>
      <c r="C41">
        <v>0.85</v>
      </c>
      <c r="D41">
        <v>167</v>
      </c>
      <c r="E41">
        <v>0</v>
      </c>
      <c r="F41">
        <v>0</v>
      </c>
      <c r="G41">
        <v>0</v>
      </c>
      <c r="H41">
        <v>0</v>
      </c>
      <c r="I41">
        <v>28.3</v>
      </c>
      <c r="J41">
        <v>0</v>
      </c>
      <c r="K41">
        <v>183.8</v>
      </c>
      <c r="L41">
        <v>0</v>
      </c>
      <c r="M41">
        <v>0</v>
      </c>
      <c r="N41">
        <f t="shared" ref="N41:N44" si="13">((E41/D41)*(7/3.5)*0.000735*86.2*2)</f>
        <v>0</v>
      </c>
      <c r="O41">
        <f t="shared" ref="O41:O44" si="14">((F41/D41)*(7/4.5)*0.000735*100.1*2)</f>
        <v>0</v>
      </c>
      <c r="P41">
        <f t="shared" ref="P41:P44" si="15">((G41/D41)*(7/5.5)*0.000735*114.2*2)</f>
        <v>0</v>
      </c>
      <c r="Q41">
        <f t="shared" ref="Q41:Q44" si="16">((H41/D41)*(7/6.5)*0.000735*128.2*2)</f>
        <v>0</v>
      </c>
      <c r="R41">
        <f t="shared" ref="R41:R44" si="17">((I41/D41)*(7/7.5)*0.000735*142.2*2)</f>
        <v>3.3061585149700604E-2</v>
      </c>
      <c r="S41">
        <f t="shared" ref="S41:S44" si="18">((J41/D41)*(7/8.5)*0.000735*156.2*2)</f>
        <v>0</v>
      </c>
      <c r="T41">
        <f t="shared" ref="T41:T44" si="19">((K41/D41)*(7/9.5)*0.000735*170.2*2)</f>
        <v>0.20289921235423886</v>
      </c>
      <c r="U41">
        <f t="shared" ref="U41:U44" si="20">((L41/D41)*(7/10.5)*0.000735*184.2*2)</f>
        <v>0</v>
      </c>
      <c r="V41">
        <f t="shared" ref="V41:V44" si="21">((M41/D41)*(7/11.5)*0.000735*198.2*2)</f>
        <v>0</v>
      </c>
      <c r="W41" s="3">
        <f t="shared" ref="W41:W44" si="22">SUM(N41:V41)</f>
        <v>0.23596079750393945</v>
      </c>
      <c r="X41">
        <f t="shared" si="11"/>
        <v>0</v>
      </c>
      <c r="Y41">
        <f t="shared" si="11"/>
        <v>0</v>
      </c>
      <c r="Z41">
        <f t="shared" si="11"/>
        <v>0</v>
      </c>
      <c r="AA41">
        <f t="shared" si="11"/>
        <v>0</v>
      </c>
      <c r="AB41">
        <f t="shared" si="11"/>
        <v>14.011473727600293</v>
      </c>
      <c r="AC41">
        <f t="shared" si="11"/>
        <v>0</v>
      </c>
      <c r="AD41">
        <f t="shared" si="11"/>
        <v>85.98852627239971</v>
      </c>
      <c r="AE41">
        <f t="shared" si="11"/>
        <v>0</v>
      </c>
      <c r="AF41">
        <f t="shared" si="11"/>
        <v>0</v>
      </c>
      <c r="AG41" s="3">
        <f t="shared" ref="AG41:AG44" si="23">((W41/B41)*100)/C41</f>
        <v>2.1519452576738662</v>
      </c>
    </row>
    <row r="42" spans="1:33" x14ac:dyDescent="0.25">
      <c r="A42" t="s">
        <v>48</v>
      </c>
      <c r="B42">
        <v>13.8</v>
      </c>
      <c r="C42">
        <v>0.85</v>
      </c>
      <c r="D42">
        <v>168.9</v>
      </c>
      <c r="E42">
        <v>0</v>
      </c>
      <c r="F42">
        <v>0</v>
      </c>
      <c r="G42">
        <v>0</v>
      </c>
      <c r="H42">
        <v>0</v>
      </c>
      <c r="I42">
        <v>28.5</v>
      </c>
      <c r="J42">
        <v>0</v>
      </c>
      <c r="K42">
        <v>186.6</v>
      </c>
      <c r="L42">
        <v>0</v>
      </c>
      <c r="M42">
        <v>0</v>
      </c>
      <c r="N42">
        <f t="shared" si="13"/>
        <v>0</v>
      </c>
      <c r="O42">
        <f t="shared" si="14"/>
        <v>0</v>
      </c>
      <c r="P42">
        <f t="shared" si="15"/>
        <v>0</v>
      </c>
      <c r="Q42">
        <f t="shared" si="16"/>
        <v>0</v>
      </c>
      <c r="R42">
        <f t="shared" si="17"/>
        <v>3.2920689165186492E-2</v>
      </c>
      <c r="S42">
        <f t="shared" si="18"/>
        <v>0</v>
      </c>
      <c r="T42">
        <f t="shared" si="19"/>
        <v>0.20367293185005136</v>
      </c>
      <c r="U42">
        <f t="shared" si="20"/>
        <v>0</v>
      </c>
      <c r="V42">
        <f t="shared" si="21"/>
        <v>0</v>
      </c>
      <c r="W42" s="3">
        <f t="shared" si="22"/>
        <v>0.23659362101523784</v>
      </c>
      <c r="X42">
        <f t="shared" si="11"/>
        <v>0</v>
      </c>
      <c r="Y42">
        <f t="shared" si="11"/>
        <v>0</v>
      </c>
      <c r="Z42">
        <f t="shared" si="11"/>
        <v>0</v>
      </c>
      <c r="AA42">
        <f t="shared" si="11"/>
        <v>0</v>
      </c>
      <c r="AB42">
        <f t="shared" si="11"/>
        <v>13.91444495583684</v>
      </c>
      <c r="AC42">
        <f t="shared" si="11"/>
        <v>0</v>
      </c>
      <c r="AD42">
        <f t="shared" si="11"/>
        <v>86.085555044163158</v>
      </c>
      <c r="AE42">
        <f t="shared" si="11"/>
        <v>0</v>
      </c>
      <c r="AF42">
        <f t="shared" si="11"/>
        <v>0</v>
      </c>
      <c r="AG42" s="3">
        <f t="shared" si="23"/>
        <v>2.016995916583443</v>
      </c>
    </row>
    <row r="43" spans="1:33" x14ac:dyDescent="0.25">
      <c r="A43" t="s">
        <v>49</v>
      </c>
      <c r="B43">
        <v>11.9</v>
      </c>
      <c r="C43">
        <v>0.85</v>
      </c>
      <c r="D43">
        <v>162.5</v>
      </c>
      <c r="E43">
        <v>0</v>
      </c>
      <c r="F43">
        <v>0</v>
      </c>
      <c r="G43">
        <v>0</v>
      </c>
      <c r="H43">
        <v>0</v>
      </c>
      <c r="I43">
        <v>29.3</v>
      </c>
      <c r="J43">
        <v>0</v>
      </c>
      <c r="K43">
        <v>190.6</v>
      </c>
      <c r="L43">
        <v>0</v>
      </c>
      <c r="M43">
        <v>0</v>
      </c>
      <c r="N43">
        <f t="shared" si="13"/>
        <v>0</v>
      </c>
      <c r="O43">
        <f t="shared" si="14"/>
        <v>0</v>
      </c>
      <c r="P43">
        <f t="shared" si="15"/>
        <v>0</v>
      </c>
      <c r="Q43">
        <f t="shared" si="16"/>
        <v>0</v>
      </c>
      <c r="R43">
        <f t="shared" si="17"/>
        <v>3.5177742276923073E-2</v>
      </c>
      <c r="S43">
        <f t="shared" si="18"/>
        <v>0</v>
      </c>
      <c r="T43">
        <f t="shared" si="19"/>
        <v>0.21623244359514165</v>
      </c>
      <c r="U43">
        <f t="shared" si="20"/>
        <v>0</v>
      </c>
      <c r="V43">
        <f t="shared" si="21"/>
        <v>0</v>
      </c>
      <c r="W43" s="3">
        <f t="shared" si="22"/>
        <v>0.25141018587206471</v>
      </c>
      <c r="X43">
        <f t="shared" si="11"/>
        <v>0</v>
      </c>
      <c r="Y43">
        <f t="shared" si="11"/>
        <v>0</v>
      </c>
      <c r="Z43">
        <f t="shared" si="11"/>
        <v>0</v>
      </c>
      <c r="AA43">
        <f t="shared" si="11"/>
        <v>0</v>
      </c>
      <c r="AB43">
        <f t="shared" si="11"/>
        <v>13.992170665202879</v>
      </c>
      <c r="AC43">
        <f t="shared" si="11"/>
        <v>0</v>
      </c>
      <c r="AD43">
        <f t="shared" si="11"/>
        <v>86.007829334797123</v>
      </c>
      <c r="AE43">
        <f t="shared" si="11"/>
        <v>0</v>
      </c>
      <c r="AF43">
        <f t="shared" si="11"/>
        <v>0</v>
      </c>
      <c r="AG43" s="3">
        <f t="shared" si="23"/>
        <v>2.4855183971533834</v>
      </c>
    </row>
    <row r="44" spans="1:33" x14ac:dyDescent="0.25">
      <c r="A44" t="s">
        <v>50</v>
      </c>
      <c r="B44">
        <v>12.9</v>
      </c>
      <c r="C44">
        <v>0.85</v>
      </c>
      <c r="D44">
        <v>164</v>
      </c>
      <c r="E44">
        <v>0</v>
      </c>
      <c r="F44">
        <v>0</v>
      </c>
      <c r="G44">
        <v>0</v>
      </c>
      <c r="H44">
        <v>0</v>
      </c>
      <c r="I44">
        <v>31.2</v>
      </c>
      <c r="J44">
        <v>0</v>
      </c>
      <c r="K44">
        <v>210.4</v>
      </c>
      <c r="L44">
        <v>0</v>
      </c>
      <c r="M44">
        <v>0</v>
      </c>
      <c r="N44">
        <f t="shared" si="13"/>
        <v>0</v>
      </c>
      <c r="O44">
        <f t="shared" si="14"/>
        <v>0</v>
      </c>
      <c r="P44">
        <f t="shared" si="15"/>
        <v>0</v>
      </c>
      <c r="Q44">
        <f t="shared" si="16"/>
        <v>0</v>
      </c>
      <c r="R44">
        <f t="shared" si="17"/>
        <v>3.7116280975609761E-2</v>
      </c>
      <c r="S44">
        <f t="shared" si="18"/>
        <v>0</v>
      </c>
      <c r="T44">
        <f t="shared" si="19"/>
        <v>0.23651201745827982</v>
      </c>
      <c r="U44">
        <f t="shared" si="20"/>
        <v>0</v>
      </c>
      <c r="V44">
        <f t="shared" si="21"/>
        <v>0</v>
      </c>
      <c r="W44" s="3">
        <f t="shared" si="22"/>
        <v>0.27362829843388958</v>
      </c>
      <c r="X44">
        <f t="shared" si="11"/>
        <v>0</v>
      </c>
      <c r="Y44">
        <f t="shared" si="11"/>
        <v>0</v>
      </c>
      <c r="Z44">
        <f t="shared" si="11"/>
        <v>0</v>
      </c>
      <c r="AA44">
        <f t="shared" si="11"/>
        <v>0</v>
      </c>
      <c r="AB44">
        <f t="shared" si="11"/>
        <v>13.564489195030133</v>
      </c>
      <c r="AC44">
        <f t="shared" si="11"/>
        <v>0</v>
      </c>
      <c r="AD44">
        <f t="shared" si="11"/>
        <v>86.435510804969866</v>
      </c>
      <c r="AE44">
        <f t="shared" si="11"/>
        <v>0</v>
      </c>
      <c r="AF44">
        <f t="shared" si="11"/>
        <v>0</v>
      </c>
      <c r="AG44" s="3">
        <f t="shared" si="23"/>
        <v>2.4954701179561298</v>
      </c>
    </row>
    <row r="45" spans="1:33" x14ac:dyDescent="0.25">
      <c r="A45" t="s">
        <v>51</v>
      </c>
      <c r="B45">
        <v>9.4</v>
      </c>
      <c r="C45">
        <v>0.85</v>
      </c>
      <c r="D45">
        <v>148.19999999999999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124.7</v>
      </c>
      <c r="L45">
        <v>0</v>
      </c>
      <c r="M45">
        <v>0</v>
      </c>
      <c r="N45">
        <f t="shared" ref="N45:N54" si="24">((E45/D45)*(7/3.5)*0.000735*86.2*2)</f>
        <v>0</v>
      </c>
      <c r="O45">
        <f t="shared" ref="O45:O54" si="25">((F45/D45)*(7/4.5)*0.000735*100.1*2)</f>
        <v>0</v>
      </c>
      <c r="P45">
        <f t="shared" ref="P45:P54" si="26">((G45/D45)*(7/5.5)*0.000735*114.2*2)</f>
        <v>0</v>
      </c>
      <c r="Q45">
        <f t="shared" ref="Q45:Q54" si="27">((H45/D45)*(7/6.5)*0.000735*128.2*2)</f>
        <v>0</v>
      </c>
      <c r="R45">
        <f t="shared" ref="R45:R54" si="28">((I45/D45)*(7/7.5)*0.000735*142.2*2)</f>
        <v>0</v>
      </c>
      <c r="S45">
        <f t="shared" ref="S45:S54" si="29">((J45/D45)*(7/8.5)*0.000735*156.2*2)</f>
        <v>0</v>
      </c>
      <c r="T45">
        <f t="shared" ref="T45:T54" si="30">((K45/D45)*(7/9.5)*0.000735*170.2*2)</f>
        <v>0.15512063541444707</v>
      </c>
      <c r="U45">
        <f t="shared" ref="U45:U54" si="31">((L45/D45)*(7/10.5)*0.000735*184.2*2)</f>
        <v>0</v>
      </c>
      <c r="V45">
        <f t="shared" ref="V45:V54" si="32">((M45/D45)*(7/11.5)*0.000735*198.2*2)</f>
        <v>0</v>
      </c>
      <c r="W45" s="3">
        <f t="shared" ref="W45:W54" si="33">SUM(N45:V45)</f>
        <v>0.15512063541444707</v>
      </c>
      <c r="X45">
        <f t="shared" ref="X45:X54" si="34">(N45/$W45)*100</f>
        <v>0</v>
      </c>
      <c r="Y45">
        <f t="shared" ref="Y45:Y54" si="35">(O45/$W45)*100</f>
        <v>0</v>
      </c>
      <c r="Z45">
        <f t="shared" ref="Z45:Z54" si="36">(P45/$W45)*100</f>
        <v>0</v>
      </c>
      <c r="AA45">
        <f t="shared" ref="AA45:AA54" si="37">(Q45/$W45)*100</f>
        <v>0</v>
      </c>
      <c r="AB45">
        <f t="shared" ref="AB45:AB54" si="38">(R45/$W45)*100</f>
        <v>0</v>
      </c>
      <c r="AC45">
        <f t="shared" ref="AC45:AC54" si="39">(S45/$W45)*100</f>
        <v>0</v>
      </c>
      <c r="AD45">
        <f t="shared" ref="AD45:AD54" si="40">(T45/$W45)*100</f>
        <v>100</v>
      </c>
      <c r="AE45">
        <f t="shared" ref="AE45:AE54" si="41">(U45/$W45)*100</f>
        <v>0</v>
      </c>
      <c r="AF45">
        <f t="shared" ref="AF45:AF54" si="42">(V45/$W45)*100</f>
        <v>0</v>
      </c>
      <c r="AG45" s="3">
        <f t="shared" ref="AG45:AG54" si="43">((W45/B45)*100)/C45</f>
        <v>1.9414347361007143</v>
      </c>
    </row>
    <row r="46" spans="1:33" x14ac:dyDescent="0.25">
      <c r="A46" t="s">
        <v>52</v>
      </c>
      <c r="B46">
        <v>11.1</v>
      </c>
      <c r="C46">
        <v>0.85</v>
      </c>
      <c r="D46">
        <v>149.80000000000001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38</v>
      </c>
      <c r="L46">
        <v>0</v>
      </c>
      <c r="M46">
        <v>0</v>
      </c>
      <c r="N46">
        <f t="shared" si="24"/>
        <v>0</v>
      </c>
      <c r="O46">
        <f t="shared" si="25"/>
        <v>0</v>
      </c>
      <c r="P46">
        <f t="shared" si="26"/>
        <v>0</v>
      </c>
      <c r="Q46">
        <f t="shared" si="27"/>
        <v>0</v>
      </c>
      <c r="R46">
        <f t="shared" si="28"/>
        <v>0</v>
      </c>
      <c r="S46">
        <f t="shared" si="29"/>
        <v>0</v>
      </c>
      <c r="T46">
        <f t="shared" si="30"/>
        <v>4.6765233644859808E-2</v>
      </c>
      <c r="U46">
        <f t="shared" si="31"/>
        <v>0</v>
      </c>
      <c r="V46">
        <f t="shared" si="32"/>
        <v>0</v>
      </c>
      <c r="W46" s="3">
        <f t="shared" si="33"/>
        <v>4.6765233644859808E-2</v>
      </c>
      <c r="X46">
        <f t="shared" si="34"/>
        <v>0</v>
      </c>
      <c r="Y46">
        <f t="shared" si="35"/>
        <v>0</v>
      </c>
      <c r="Z46">
        <f t="shared" si="36"/>
        <v>0</v>
      </c>
      <c r="AA46">
        <f t="shared" si="37"/>
        <v>0</v>
      </c>
      <c r="AB46">
        <f t="shared" si="38"/>
        <v>0</v>
      </c>
      <c r="AC46">
        <f t="shared" si="39"/>
        <v>0</v>
      </c>
      <c r="AD46">
        <f t="shared" si="40"/>
        <v>100</v>
      </c>
      <c r="AE46">
        <f t="shared" si="41"/>
        <v>0</v>
      </c>
      <c r="AF46">
        <f t="shared" si="42"/>
        <v>0</v>
      </c>
      <c r="AG46" s="3">
        <f t="shared" si="43"/>
        <v>0.49565695437053325</v>
      </c>
    </row>
    <row r="47" spans="1:33" x14ac:dyDescent="0.25">
      <c r="A47" t="s">
        <v>56</v>
      </c>
      <c r="B47">
        <v>10.9</v>
      </c>
      <c r="C47">
        <v>0.85</v>
      </c>
      <c r="D47">
        <v>157.30000000000001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37.200000000000003</v>
      </c>
      <c r="L47">
        <v>0</v>
      </c>
      <c r="M47">
        <v>0</v>
      </c>
      <c r="N47">
        <f t="shared" si="24"/>
        <v>0</v>
      </c>
      <c r="O47">
        <f t="shared" si="25"/>
        <v>0</v>
      </c>
      <c r="P47">
        <f t="shared" si="26"/>
        <v>0</v>
      </c>
      <c r="Q47">
        <f t="shared" si="27"/>
        <v>0</v>
      </c>
      <c r="R47">
        <f t="shared" si="28"/>
        <v>0</v>
      </c>
      <c r="S47">
        <f t="shared" si="29"/>
        <v>0</v>
      </c>
      <c r="T47">
        <f t="shared" si="30"/>
        <v>4.3597897145916276E-2</v>
      </c>
      <c r="U47">
        <f t="shared" si="31"/>
        <v>0</v>
      </c>
      <c r="V47">
        <f t="shared" si="32"/>
        <v>0</v>
      </c>
      <c r="W47" s="3">
        <f t="shared" si="33"/>
        <v>4.3597897145916276E-2</v>
      </c>
      <c r="X47">
        <f t="shared" si="34"/>
        <v>0</v>
      </c>
      <c r="Y47">
        <f t="shared" si="35"/>
        <v>0</v>
      </c>
      <c r="Z47">
        <f t="shared" si="36"/>
        <v>0</v>
      </c>
      <c r="AA47">
        <f t="shared" si="37"/>
        <v>0</v>
      </c>
      <c r="AB47">
        <f t="shared" si="38"/>
        <v>0</v>
      </c>
      <c r="AC47">
        <f t="shared" si="39"/>
        <v>0</v>
      </c>
      <c r="AD47">
        <f t="shared" si="40"/>
        <v>100</v>
      </c>
      <c r="AE47">
        <f t="shared" si="41"/>
        <v>0</v>
      </c>
      <c r="AF47">
        <f t="shared" si="42"/>
        <v>0</v>
      </c>
      <c r="AG47" s="3">
        <f t="shared" si="43"/>
        <v>0.47056553854199967</v>
      </c>
    </row>
    <row r="48" spans="1:33" x14ac:dyDescent="0.25">
      <c r="A48" t="s">
        <v>55</v>
      </c>
      <c r="B48">
        <v>13.2</v>
      </c>
      <c r="C48">
        <v>0.85</v>
      </c>
      <c r="D48">
        <v>161.69999999999999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52.8</v>
      </c>
      <c r="L48">
        <v>0</v>
      </c>
      <c r="M48">
        <v>0</v>
      </c>
      <c r="N48">
        <f t="shared" si="24"/>
        <v>0</v>
      </c>
      <c r="O48">
        <f t="shared" si="25"/>
        <v>0</v>
      </c>
      <c r="P48">
        <f t="shared" si="26"/>
        <v>0</v>
      </c>
      <c r="Q48">
        <f t="shared" si="27"/>
        <v>0</v>
      </c>
      <c r="R48">
        <f t="shared" si="28"/>
        <v>0</v>
      </c>
      <c r="S48">
        <f t="shared" si="29"/>
        <v>0</v>
      </c>
      <c r="T48">
        <f t="shared" si="30"/>
        <v>6.0197052631578943E-2</v>
      </c>
      <c r="U48">
        <f t="shared" si="31"/>
        <v>0</v>
      </c>
      <c r="V48">
        <f t="shared" si="32"/>
        <v>0</v>
      </c>
      <c r="W48" s="3">
        <f t="shared" si="33"/>
        <v>6.0197052631578943E-2</v>
      </c>
      <c r="X48">
        <f t="shared" si="34"/>
        <v>0</v>
      </c>
      <c r="Y48">
        <f t="shared" si="35"/>
        <v>0</v>
      </c>
      <c r="Z48">
        <f t="shared" si="36"/>
        <v>0</v>
      </c>
      <c r="AA48">
        <f t="shared" si="37"/>
        <v>0</v>
      </c>
      <c r="AB48">
        <f t="shared" si="38"/>
        <v>0</v>
      </c>
      <c r="AC48">
        <f t="shared" si="39"/>
        <v>0</v>
      </c>
      <c r="AD48">
        <f t="shared" si="40"/>
        <v>100</v>
      </c>
      <c r="AE48">
        <f t="shared" si="41"/>
        <v>0</v>
      </c>
      <c r="AF48">
        <f t="shared" si="42"/>
        <v>0</v>
      </c>
      <c r="AG48" s="3">
        <f t="shared" si="43"/>
        <v>0.53651562060230784</v>
      </c>
    </row>
    <row r="49" spans="1:33" x14ac:dyDescent="0.25">
      <c r="A49" t="s">
        <v>54</v>
      </c>
      <c r="B49">
        <v>11</v>
      </c>
      <c r="C49">
        <v>0.85</v>
      </c>
      <c r="D49">
        <v>167.5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90.8</v>
      </c>
      <c r="L49">
        <v>0</v>
      </c>
      <c r="M49">
        <v>0</v>
      </c>
      <c r="N49">
        <f t="shared" si="24"/>
        <v>0</v>
      </c>
      <c r="O49">
        <f t="shared" si="25"/>
        <v>0</v>
      </c>
      <c r="P49">
        <f t="shared" si="26"/>
        <v>0</v>
      </c>
      <c r="Q49">
        <f t="shared" si="27"/>
        <v>0</v>
      </c>
      <c r="R49">
        <f t="shared" si="28"/>
        <v>0</v>
      </c>
      <c r="S49">
        <f t="shared" si="29"/>
        <v>0</v>
      </c>
      <c r="T49">
        <f t="shared" si="30"/>
        <v>9.9936092003142157E-2</v>
      </c>
      <c r="U49">
        <f t="shared" si="31"/>
        <v>0</v>
      </c>
      <c r="V49">
        <f t="shared" si="32"/>
        <v>0</v>
      </c>
      <c r="W49" s="3">
        <f t="shared" si="33"/>
        <v>9.9936092003142157E-2</v>
      </c>
      <c r="X49">
        <f t="shared" si="34"/>
        <v>0</v>
      </c>
      <c r="Y49">
        <f t="shared" si="35"/>
        <v>0</v>
      </c>
      <c r="Z49">
        <f t="shared" si="36"/>
        <v>0</v>
      </c>
      <c r="AA49">
        <f t="shared" si="37"/>
        <v>0</v>
      </c>
      <c r="AB49">
        <f t="shared" si="38"/>
        <v>0</v>
      </c>
      <c r="AC49">
        <f t="shared" si="39"/>
        <v>0</v>
      </c>
      <c r="AD49">
        <f t="shared" si="40"/>
        <v>100</v>
      </c>
      <c r="AE49">
        <f t="shared" si="41"/>
        <v>0</v>
      </c>
      <c r="AF49">
        <f t="shared" si="42"/>
        <v>0</v>
      </c>
      <c r="AG49" s="3">
        <f t="shared" si="43"/>
        <v>1.0688352085897559</v>
      </c>
    </row>
    <row r="50" spans="1:33" x14ac:dyDescent="0.25">
      <c r="A50" t="s">
        <v>53</v>
      </c>
      <c r="B50">
        <v>8.6</v>
      </c>
      <c r="C50">
        <v>0.85</v>
      </c>
      <c r="D50">
        <v>167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63.3</v>
      </c>
      <c r="L50">
        <v>0</v>
      </c>
      <c r="M50">
        <v>0</v>
      </c>
      <c r="N50">
        <f t="shared" si="24"/>
        <v>0</v>
      </c>
      <c r="O50">
        <f t="shared" si="25"/>
        <v>0</v>
      </c>
      <c r="P50">
        <f t="shared" si="26"/>
        <v>0</v>
      </c>
      <c r="Q50">
        <f t="shared" si="27"/>
        <v>0</v>
      </c>
      <c r="R50">
        <f t="shared" si="28"/>
        <v>0</v>
      </c>
      <c r="S50">
        <f t="shared" si="29"/>
        <v>0</v>
      </c>
      <c r="T50">
        <f t="shared" si="30"/>
        <v>6.9877693917428291E-2</v>
      </c>
      <c r="U50">
        <f t="shared" si="31"/>
        <v>0</v>
      </c>
      <c r="V50">
        <f t="shared" si="32"/>
        <v>0</v>
      </c>
      <c r="W50" s="3">
        <f t="shared" si="33"/>
        <v>6.9877693917428291E-2</v>
      </c>
      <c r="X50">
        <f t="shared" si="34"/>
        <v>0</v>
      </c>
      <c r="Y50">
        <f t="shared" si="35"/>
        <v>0</v>
      </c>
      <c r="Z50">
        <f t="shared" si="36"/>
        <v>0</v>
      </c>
      <c r="AA50">
        <f t="shared" si="37"/>
        <v>0</v>
      </c>
      <c r="AB50">
        <f t="shared" si="38"/>
        <v>0</v>
      </c>
      <c r="AC50">
        <f t="shared" si="39"/>
        <v>0</v>
      </c>
      <c r="AD50">
        <f t="shared" si="40"/>
        <v>100</v>
      </c>
      <c r="AE50">
        <f t="shared" si="41"/>
        <v>0</v>
      </c>
      <c r="AF50">
        <f t="shared" si="42"/>
        <v>0</v>
      </c>
      <c r="AG50" s="3">
        <f t="shared" si="43"/>
        <v>0.95591920543677555</v>
      </c>
    </row>
    <row r="51" spans="1:33" x14ac:dyDescent="0.25">
      <c r="A51" t="s">
        <v>57</v>
      </c>
      <c r="B51">
        <v>10.199999999999999</v>
      </c>
      <c r="C51">
        <v>0.85</v>
      </c>
      <c r="D51">
        <v>170.4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81.599999999999994</v>
      </c>
      <c r="L51">
        <v>0</v>
      </c>
      <c r="M51">
        <v>0</v>
      </c>
      <c r="N51">
        <f t="shared" si="24"/>
        <v>0</v>
      </c>
      <c r="O51">
        <f t="shared" si="25"/>
        <v>0</v>
      </c>
      <c r="P51">
        <f t="shared" si="26"/>
        <v>0</v>
      </c>
      <c r="Q51">
        <f t="shared" si="27"/>
        <v>0</v>
      </c>
      <c r="R51">
        <f t="shared" si="28"/>
        <v>0</v>
      </c>
      <c r="S51">
        <f t="shared" si="29"/>
        <v>0</v>
      </c>
      <c r="T51">
        <f t="shared" si="30"/>
        <v>8.828194514455151E-2</v>
      </c>
      <c r="U51">
        <f t="shared" si="31"/>
        <v>0</v>
      </c>
      <c r="V51">
        <f t="shared" si="32"/>
        <v>0</v>
      </c>
      <c r="W51" s="3">
        <f t="shared" si="33"/>
        <v>8.828194514455151E-2</v>
      </c>
      <c r="X51">
        <f t="shared" si="34"/>
        <v>0</v>
      </c>
      <c r="Y51">
        <f t="shared" si="35"/>
        <v>0</v>
      </c>
      <c r="Z51">
        <f t="shared" si="36"/>
        <v>0</v>
      </c>
      <c r="AA51">
        <f t="shared" si="37"/>
        <v>0</v>
      </c>
      <c r="AB51">
        <f t="shared" si="38"/>
        <v>0</v>
      </c>
      <c r="AC51">
        <f t="shared" si="39"/>
        <v>0</v>
      </c>
      <c r="AD51">
        <f t="shared" si="40"/>
        <v>100</v>
      </c>
      <c r="AE51">
        <f t="shared" si="41"/>
        <v>0</v>
      </c>
      <c r="AF51">
        <f t="shared" si="42"/>
        <v>0</v>
      </c>
      <c r="AG51" s="3">
        <f t="shared" si="43"/>
        <v>1.0182461954388871</v>
      </c>
    </row>
    <row r="52" spans="1:33" x14ac:dyDescent="0.25">
      <c r="A52" t="s">
        <v>58</v>
      </c>
      <c r="B52">
        <v>12.9</v>
      </c>
      <c r="C52">
        <v>0.85</v>
      </c>
      <c r="D52">
        <v>188.8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144.5</v>
      </c>
      <c r="L52">
        <v>0</v>
      </c>
      <c r="M52">
        <v>0</v>
      </c>
      <c r="N52">
        <f t="shared" si="24"/>
        <v>0</v>
      </c>
      <c r="O52">
        <f t="shared" si="25"/>
        <v>0</v>
      </c>
      <c r="P52">
        <f t="shared" si="26"/>
        <v>0</v>
      </c>
      <c r="Q52">
        <f t="shared" si="27"/>
        <v>0</v>
      </c>
      <c r="R52">
        <f t="shared" si="28"/>
        <v>0</v>
      </c>
      <c r="S52">
        <f t="shared" si="29"/>
        <v>0</v>
      </c>
      <c r="T52">
        <f t="shared" si="30"/>
        <v>0.1410968058652988</v>
      </c>
      <c r="U52">
        <f t="shared" si="31"/>
        <v>0</v>
      </c>
      <c r="V52">
        <f t="shared" si="32"/>
        <v>0</v>
      </c>
      <c r="W52" s="3">
        <f t="shared" si="33"/>
        <v>0.1410968058652988</v>
      </c>
      <c r="X52">
        <f t="shared" si="34"/>
        <v>0</v>
      </c>
      <c r="Y52">
        <f t="shared" si="35"/>
        <v>0</v>
      </c>
      <c r="Z52">
        <f t="shared" si="36"/>
        <v>0</v>
      </c>
      <c r="AA52">
        <f t="shared" si="37"/>
        <v>0</v>
      </c>
      <c r="AB52">
        <f t="shared" si="38"/>
        <v>0</v>
      </c>
      <c r="AC52">
        <f t="shared" si="39"/>
        <v>0</v>
      </c>
      <c r="AD52">
        <f t="shared" si="40"/>
        <v>100</v>
      </c>
      <c r="AE52">
        <f t="shared" si="41"/>
        <v>0</v>
      </c>
      <c r="AF52">
        <f t="shared" si="42"/>
        <v>0</v>
      </c>
      <c r="AG52" s="3">
        <f t="shared" si="43"/>
        <v>1.2867925751509237</v>
      </c>
    </row>
    <row r="53" spans="1:33" x14ac:dyDescent="0.25">
      <c r="A53" t="s">
        <v>59</v>
      </c>
      <c r="B53">
        <v>12.9</v>
      </c>
      <c r="C53">
        <v>0.85</v>
      </c>
      <c r="D53">
        <v>196.9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133.69999999999999</v>
      </c>
      <c r="L53">
        <v>0</v>
      </c>
      <c r="M53">
        <v>0</v>
      </c>
      <c r="N53">
        <f t="shared" si="24"/>
        <v>0</v>
      </c>
      <c r="O53">
        <f t="shared" si="25"/>
        <v>0</v>
      </c>
      <c r="P53">
        <f t="shared" si="26"/>
        <v>0</v>
      </c>
      <c r="Q53">
        <f t="shared" si="27"/>
        <v>0</v>
      </c>
      <c r="R53">
        <f t="shared" si="28"/>
        <v>0</v>
      </c>
      <c r="S53">
        <f t="shared" si="29"/>
        <v>0</v>
      </c>
      <c r="T53">
        <f t="shared" si="30"/>
        <v>0.1251805964021277</v>
      </c>
      <c r="U53">
        <f t="shared" si="31"/>
        <v>0</v>
      </c>
      <c r="V53">
        <f t="shared" si="32"/>
        <v>0</v>
      </c>
      <c r="W53" s="3">
        <f t="shared" si="33"/>
        <v>0.1251805964021277</v>
      </c>
      <c r="X53">
        <f t="shared" si="34"/>
        <v>0</v>
      </c>
      <c r="Y53">
        <f t="shared" si="35"/>
        <v>0</v>
      </c>
      <c r="Z53">
        <f t="shared" si="36"/>
        <v>0</v>
      </c>
      <c r="AA53">
        <f t="shared" si="37"/>
        <v>0</v>
      </c>
      <c r="AB53">
        <f t="shared" si="38"/>
        <v>0</v>
      </c>
      <c r="AC53">
        <f t="shared" si="39"/>
        <v>0</v>
      </c>
      <c r="AD53">
        <f t="shared" si="40"/>
        <v>100</v>
      </c>
      <c r="AE53">
        <f t="shared" si="41"/>
        <v>0</v>
      </c>
      <c r="AF53">
        <f t="shared" si="42"/>
        <v>0</v>
      </c>
      <c r="AG53" s="3">
        <f t="shared" si="43"/>
        <v>1.1416379060841559</v>
      </c>
    </row>
    <row r="54" spans="1:33" x14ac:dyDescent="0.25">
      <c r="A54" t="s">
        <v>60</v>
      </c>
      <c r="B54">
        <v>13</v>
      </c>
      <c r="C54">
        <v>0.85</v>
      </c>
      <c r="D54">
        <v>196.5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135.4</v>
      </c>
      <c r="L54">
        <v>0</v>
      </c>
      <c r="M54">
        <v>0</v>
      </c>
      <c r="N54">
        <f t="shared" si="24"/>
        <v>0</v>
      </c>
      <c r="O54">
        <f t="shared" si="25"/>
        <v>0</v>
      </c>
      <c r="P54">
        <f t="shared" si="26"/>
        <v>0</v>
      </c>
      <c r="Q54">
        <f t="shared" si="27"/>
        <v>0</v>
      </c>
      <c r="R54">
        <f t="shared" si="28"/>
        <v>0</v>
      </c>
      <c r="S54">
        <f t="shared" si="29"/>
        <v>0</v>
      </c>
      <c r="T54">
        <f t="shared" si="30"/>
        <v>0.12703033250301324</v>
      </c>
      <c r="U54">
        <f t="shared" si="31"/>
        <v>0</v>
      </c>
      <c r="V54">
        <f t="shared" si="32"/>
        <v>0</v>
      </c>
      <c r="W54" s="3">
        <f t="shared" si="33"/>
        <v>0.12703033250301324</v>
      </c>
      <c r="X54">
        <f t="shared" si="34"/>
        <v>0</v>
      </c>
      <c r="Y54">
        <f t="shared" si="35"/>
        <v>0</v>
      </c>
      <c r="Z54">
        <f t="shared" si="36"/>
        <v>0</v>
      </c>
      <c r="AA54">
        <f t="shared" si="37"/>
        <v>0</v>
      </c>
      <c r="AB54">
        <f t="shared" si="38"/>
        <v>0</v>
      </c>
      <c r="AC54">
        <f t="shared" si="39"/>
        <v>0</v>
      </c>
      <c r="AD54">
        <f t="shared" si="40"/>
        <v>100</v>
      </c>
      <c r="AE54">
        <f t="shared" si="41"/>
        <v>0</v>
      </c>
      <c r="AF54">
        <f t="shared" si="42"/>
        <v>0</v>
      </c>
      <c r="AG54" s="3">
        <f t="shared" si="43"/>
        <v>1.1495957692580385</v>
      </c>
    </row>
    <row r="55" spans="1:33" x14ac:dyDescent="0.25">
      <c r="A55" t="s">
        <v>61</v>
      </c>
      <c r="B55">
        <v>13.5</v>
      </c>
      <c r="C55">
        <v>0.85</v>
      </c>
      <c r="D55">
        <v>170.3</v>
      </c>
      <c r="E55">
        <v>0</v>
      </c>
      <c r="F55">
        <v>0</v>
      </c>
      <c r="G55">
        <v>0</v>
      </c>
      <c r="H55">
        <v>0</v>
      </c>
      <c r="I55">
        <v>28.7</v>
      </c>
      <c r="J55">
        <v>0</v>
      </c>
      <c r="K55">
        <v>203.4</v>
      </c>
      <c r="L55">
        <v>0</v>
      </c>
      <c r="M55">
        <v>0</v>
      </c>
      <c r="N55">
        <f t="shared" ref="N55:N63" si="44">((E55/D55)*(7/3.5)*0.000735*86.2*2)</f>
        <v>0</v>
      </c>
      <c r="O55">
        <f t="shared" ref="O55:O63" si="45">((F55/D55)*(7/4.5)*0.000735*100.1*2)</f>
        <v>0</v>
      </c>
      <c r="P55">
        <f t="shared" ref="P55:P63" si="46">((G55/D55)*(7/5.5)*0.000735*114.2*2)</f>
        <v>0</v>
      </c>
      <c r="Q55">
        <f t="shared" ref="Q55:Q63" si="47">((H55/D55)*(7/6.5)*0.000735*128.2*2)</f>
        <v>0</v>
      </c>
      <c r="R55">
        <f t="shared" ref="R55:R63" si="48">((I55/D55)*(7/7.5)*0.000735*142.2*2)</f>
        <v>3.2879178391074564E-2</v>
      </c>
      <c r="S55">
        <f t="shared" ref="S55:S63" si="49">((J55/D55)*(7/8.5)*0.000735*156.2*2)</f>
        <v>0</v>
      </c>
      <c r="T55">
        <f t="shared" ref="T55:T63" si="50">((K55/D55)*(7/9.5)*0.000735*170.2*2)</f>
        <v>0.22018494743023148</v>
      </c>
      <c r="U55">
        <f t="shared" ref="U55:U63" si="51">((L55/D55)*(7/10.5)*0.000735*184.2*2)</f>
        <v>0</v>
      </c>
      <c r="V55">
        <f t="shared" ref="V55:V63" si="52">((M55/D55)*(7/11.5)*0.000735*198.2*2)</f>
        <v>0</v>
      </c>
      <c r="W55" s="3">
        <f t="shared" ref="W55:W63" si="53">SUM(N55:V55)</f>
        <v>0.25306412582130605</v>
      </c>
      <c r="X55">
        <f t="shared" ref="X55:X63" si="54">(N55/$W55)*100</f>
        <v>0</v>
      </c>
      <c r="Y55">
        <f t="shared" ref="Y55:Y63" si="55">(O55/$W55)*100</f>
        <v>0</v>
      </c>
      <c r="Z55">
        <f t="shared" ref="Z55:Z63" si="56">(P55/$W55)*100</f>
        <v>0</v>
      </c>
      <c r="AA55">
        <f t="shared" ref="AA55:AA63" si="57">(Q55/$W55)*100</f>
        <v>0</v>
      </c>
      <c r="AB55">
        <f t="shared" ref="AB55:AB63" si="58">(R55/$W55)*100</f>
        <v>12.992429600350091</v>
      </c>
      <c r="AC55">
        <f t="shared" ref="AC55:AC63" si="59">(S55/$W55)*100</f>
        <v>0</v>
      </c>
      <c r="AD55">
        <f t="shared" ref="AD55:AD63" si="60">(T55/$W55)*100</f>
        <v>87.007570399649907</v>
      </c>
      <c r="AE55">
        <f t="shared" ref="AE55:AE63" si="61">(U55/$W55)*100</f>
        <v>0</v>
      </c>
      <c r="AF55">
        <f t="shared" ref="AF55:AF63" si="62">(V55/$W55)*100</f>
        <v>0</v>
      </c>
      <c r="AG55" s="3">
        <f t="shared" ref="AG55:AG63" si="63">((W55/B55)*100)/C55</f>
        <v>2.2053518590092036</v>
      </c>
    </row>
    <row r="56" spans="1:33" x14ac:dyDescent="0.25">
      <c r="A56" t="s">
        <v>62</v>
      </c>
      <c r="B56">
        <v>13.5</v>
      </c>
      <c r="C56">
        <v>0.85</v>
      </c>
      <c r="D56">
        <v>168.3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191.2</v>
      </c>
      <c r="L56">
        <v>0</v>
      </c>
      <c r="M56">
        <v>0</v>
      </c>
      <c r="N56">
        <f t="shared" si="44"/>
        <v>0</v>
      </c>
      <c r="O56">
        <f t="shared" si="45"/>
        <v>0</v>
      </c>
      <c r="P56">
        <f t="shared" si="46"/>
        <v>0</v>
      </c>
      <c r="Q56">
        <f t="shared" si="47"/>
        <v>0</v>
      </c>
      <c r="R56">
        <f t="shared" si="48"/>
        <v>0</v>
      </c>
      <c r="S56">
        <f t="shared" si="49"/>
        <v>0</v>
      </c>
      <c r="T56">
        <f t="shared" si="50"/>
        <v>0.20943781442912088</v>
      </c>
      <c r="U56">
        <f t="shared" si="51"/>
        <v>0</v>
      </c>
      <c r="V56">
        <f t="shared" si="52"/>
        <v>0</v>
      </c>
      <c r="W56" s="3">
        <f t="shared" si="53"/>
        <v>0.20943781442912088</v>
      </c>
      <c r="X56">
        <f t="shared" si="54"/>
        <v>0</v>
      </c>
      <c r="Y56">
        <f t="shared" si="55"/>
        <v>0</v>
      </c>
      <c r="Z56">
        <f t="shared" si="56"/>
        <v>0</v>
      </c>
      <c r="AA56">
        <f t="shared" si="57"/>
        <v>0</v>
      </c>
      <c r="AB56">
        <f t="shared" si="58"/>
        <v>0</v>
      </c>
      <c r="AC56">
        <f t="shared" si="59"/>
        <v>0</v>
      </c>
      <c r="AD56">
        <f t="shared" si="60"/>
        <v>100</v>
      </c>
      <c r="AE56">
        <f t="shared" si="61"/>
        <v>0</v>
      </c>
      <c r="AF56">
        <f t="shared" si="62"/>
        <v>0</v>
      </c>
      <c r="AG56" s="3">
        <f t="shared" si="63"/>
        <v>1.8251661388158682</v>
      </c>
    </row>
    <row r="57" spans="1:33" x14ac:dyDescent="0.25">
      <c r="A57" t="s">
        <v>63</v>
      </c>
      <c r="B57">
        <v>14</v>
      </c>
      <c r="C57">
        <v>0.85</v>
      </c>
      <c r="D57">
        <v>164.7</v>
      </c>
      <c r="E57">
        <v>0</v>
      </c>
      <c r="F57">
        <v>0</v>
      </c>
      <c r="G57">
        <v>0</v>
      </c>
      <c r="H57">
        <v>0</v>
      </c>
      <c r="I57">
        <v>29.2</v>
      </c>
      <c r="J57">
        <v>0</v>
      </c>
      <c r="K57">
        <v>204</v>
      </c>
      <c r="L57">
        <v>0</v>
      </c>
      <c r="M57">
        <v>0</v>
      </c>
      <c r="N57">
        <f t="shared" si="44"/>
        <v>0</v>
      </c>
      <c r="O57">
        <f t="shared" si="45"/>
        <v>0</v>
      </c>
      <c r="P57">
        <f t="shared" si="46"/>
        <v>0</v>
      </c>
      <c r="Q57">
        <f t="shared" si="47"/>
        <v>0</v>
      </c>
      <c r="R57">
        <f t="shared" si="48"/>
        <v>3.4589394535519125E-2</v>
      </c>
      <c r="S57">
        <f t="shared" si="49"/>
        <v>0</v>
      </c>
      <c r="T57">
        <f t="shared" si="50"/>
        <v>0.22834310037388553</v>
      </c>
      <c r="U57">
        <f t="shared" si="51"/>
        <v>0</v>
      </c>
      <c r="V57">
        <f t="shared" si="52"/>
        <v>0</v>
      </c>
      <c r="W57" s="3">
        <f t="shared" si="53"/>
        <v>0.26293249490940462</v>
      </c>
      <c r="X57">
        <f t="shared" si="54"/>
        <v>0</v>
      </c>
      <c r="Y57">
        <f t="shared" si="55"/>
        <v>0</v>
      </c>
      <c r="Z57">
        <f t="shared" si="56"/>
        <v>0</v>
      </c>
      <c r="AA57">
        <f t="shared" si="57"/>
        <v>0</v>
      </c>
      <c r="AB57">
        <f t="shared" si="58"/>
        <v>13.15523763901345</v>
      </c>
      <c r="AC57">
        <f t="shared" si="59"/>
        <v>0</v>
      </c>
      <c r="AD57">
        <f t="shared" si="60"/>
        <v>86.844762360986564</v>
      </c>
      <c r="AE57">
        <f t="shared" si="61"/>
        <v>0</v>
      </c>
      <c r="AF57">
        <f t="shared" si="62"/>
        <v>0</v>
      </c>
      <c r="AG57" s="3">
        <f t="shared" si="63"/>
        <v>2.2095167639445767</v>
      </c>
    </row>
    <row r="58" spans="1:33" x14ac:dyDescent="0.25">
      <c r="A58" t="s">
        <v>64</v>
      </c>
      <c r="B58">
        <v>12</v>
      </c>
      <c r="C58">
        <v>0.85</v>
      </c>
      <c r="D58">
        <v>163.19999999999999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167.9</v>
      </c>
      <c r="L58">
        <v>0</v>
      </c>
      <c r="M58">
        <v>0</v>
      </c>
      <c r="N58">
        <f t="shared" si="44"/>
        <v>0</v>
      </c>
      <c r="O58">
        <f t="shared" si="45"/>
        <v>0</v>
      </c>
      <c r="P58">
        <f t="shared" si="46"/>
        <v>0</v>
      </c>
      <c r="Q58">
        <f t="shared" si="47"/>
        <v>0</v>
      </c>
      <c r="R58">
        <f t="shared" si="48"/>
        <v>0</v>
      </c>
      <c r="S58">
        <f t="shared" si="49"/>
        <v>0</v>
      </c>
      <c r="T58">
        <f t="shared" si="50"/>
        <v>0.18966267298761608</v>
      </c>
      <c r="U58">
        <f t="shared" si="51"/>
        <v>0</v>
      </c>
      <c r="V58">
        <f t="shared" si="52"/>
        <v>0</v>
      </c>
      <c r="W58" s="3">
        <f t="shared" si="53"/>
        <v>0.18966267298761608</v>
      </c>
      <c r="X58">
        <f t="shared" si="54"/>
        <v>0</v>
      </c>
      <c r="Y58">
        <f t="shared" si="55"/>
        <v>0</v>
      </c>
      <c r="Z58">
        <f t="shared" si="56"/>
        <v>0</v>
      </c>
      <c r="AA58">
        <f t="shared" si="57"/>
        <v>0</v>
      </c>
      <c r="AB58">
        <f t="shared" si="58"/>
        <v>0</v>
      </c>
      <c r="AC58">
        <f t="shared" si="59"/>
        <v>0</v>
      </c>
      <c r="AD58">
        <f t="shared" si="60"/>
        <v>100</v>
      </c>
      <c r="AE58">
        <f t="shared" si="61"/>
        <v>0</v>
      </c>
      <c r="AF58">
        <f t="shared" si="62"/>
        <v>0</v>
      </c>
      <c r="AG58" s="3">
        <f t="shared" si="63"/>
        <v>1.8594379704668242</v>
      </c>
    </row>
    <row r="59" spans="1:33" x14ac:dyDescent="0.25">
      <c r="A59" t="s">
        <v>65</v>
      </c>
      <c r="B59">
        <v>12.8</v>
      </c>
      <c r="C59">
        <v>0.85</v>
      </c>
      <c r="D59">
        <v>160.6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173.3</v>
      </c>
      <c r="L59">
        <v>0</v>
      </c>
      <c r="M59">
        <v>0</v>
      </c>
      <c r="N59">
        <f t="shared" si="44"/>
        <v>0</v>
      </c>
      <c r="O59">
        <f t="shared" si="45"/>
        <v>0</v>
      </c>
      <c r="P59">
        <f t="shared" si="46"/>
        <v>0</v>
      </c>
      <c r="Q59">
        <f t="shared" si="47"/>
        <v>0</v>
      </c>
      <c r="R59">
        <f t="shared" si="48"/>
        <v>0</v>
      </c>
      <c r="S59">
        <f t="shared" si="49"/>
        <v>0</v>
      </c>
      <c r="T59">
        <f t="shared" si="50"/>
        <v>0.19893186170282495</v>
      </c>
      <c r="U59">
        <f t="shared" si="51"/>
        <v>0</v>
      </c>
      <c r="V59">
        <f t="shared" si="52"/>
        <v>0</v>
      </c>
      <c r="W59" s="3">
        <f t="shared" si="53"/>
        <v>0.19893186170282495</v>
      </c>
      <c r="X59">
        <f t="shared" si="54"/>
        <v>0</v>
      </c>
      <c r="Y59">
        <f t="shared" si="55"/>
        <v>0</v>
      </c>
      <c r="Z59">
        <f t="shared" si="56"/>
        <v>0</v>
      </c>
      <c r="AA59">
        <f t="shared" si="57"/>
        <v>0</v>
      </c>
      <c r="AB59">
        <f t="shared" si="58"/>
        <v>0</v>
      </c>
      <c r="AC59">
        <f t="shared" si="59"/>
        <v>0</v>
      </c>
      <c r="AD59">
        <f t="shared" si="60"/>
        <v>100</v>
      </c>
      <c r="AE59">
        <f t="shared" si="61"/>
        <v>0</v>
      </c>
      <c r="AF59">
        <f t="shared" si="62"/>
        <v>0</v>
      </c>
      <c r="AG59" s="3">
        <f t="shared" si="63"/>
        <v>1.8284178465333176</v>
      </c>
    </row>
    <row r="60" spans="1:33" x14ac:dyDescent="0.25">
      <c r="A60" t="s">
        <v>66</v>
      </c>
      <c r="B60">
        <v>12.7</v>
      </c>
      <c r="C60">
        <v>0.85</v>
      </c>
      <c r="D60">
        <v>158.5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165.6</v>
      </c>
      <c r="L60">
        <v>0</v>
      </c>
      <c r="M60">
        <v>0</v>
      </c>
      <c r="N60">
        <f t="shared" si="44"/>
        <v>0</v>
      </c>
      <c r="O60">
        <f t="shared" si="45"/>
        <v>0</v>
      </c>
      <c r="P60">
        <f t="shared" si="46"/>
        <v>0</v>
      </c>
      <c r="Q60">
        <f t="shared" si="47"/>
        <v>0</v>
      </c>
      <c r="R60">
        <f t="shared" si="48"/>
        <v>0</v>
      </c>
      <c r="S60">
        <f t="shared" si="49"/>
        <v>0</v>
      </c>
      <c r="T60">
        <f t="shared" si="50"/>
        <v>0.19261157881454422</v>
      </c>
      <c r="U60">
        <f t="shared" si="51"/>
        <v>0</v>
      </c>
      <c r="V60">
        <f t="shared" si="52"/>
        <v>0</v>
      </c>
      <c r="W60" s="3">
        <f t="shared" si="53"/>
        <v>0.19261157881454422</v>
      </c>
      <c r="X60">
        <f t="shared" si="54"/>
        <v>0</v>
      </c>
      <c r="Y60">
        <f t="shared" si="55"/>
        <v>0</v>
      </c>
      <c r="Z60">
        <f t="shared" si="56"/>
        <v>0</v>
      </c>
      <c r="AA60">
        <f t="shared" si="57"/>
        <v>0</v>
      </c>
      <c r="AB60">
        <f t="shared" si="58"/>
        <v>0</v>
      </c>
      <c r="AC60">
        <f t="shared" si="59"/>
        <v>0</v>
      </c>
      <c r="AD60">
        <f t="shared" si="60"/>
        <v>100</v>
      </c>
      <c r="AE60">
        <f t="shared" si="61"/>
        <v>0</v>
      </c>
      <c r="AF60">
        <f t="shared" si="62"/>
        <v>0</v>
      </c>
      <c r="AG60" s="3">
        <f t="shared" si="63"/>
        <v>1.7842665939281541</v>
      </c>
    </row>
    <row r="61" spans="1:33" x14ac:dyDescent="0.25">
      <c r="A61" t="s">
        <v>67</v>
      </c>
      <c r="B61">
        <v>11</v>
      </c>
      <c r="C61">
        <v>0.85</v>
      </c>
      <c r="D61">
        <v>158.80000000000001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81.8</v>
      </c>
      <c r="L61">
        <v>0</v>
      </c>
      <c r="M61">
        <v>0</v>
      </c>
      <c r="N61">
        <f t="shared" si="44"/>
        <v>0</v>
      </c>
      <c r="O61">
        <f t="shared" si="45"/>
        <v>0</v>
      </c>
      <c r="P61">
        <f t="shared" si="46"/>
        <v>0</v>
      </c>
      <c r="Q61">
        <f t="shared" si="47"/>
        <v>0</v>
      </c>
      <c r="R61">
        <f t="shared" si="48"/>
        <v>0</v>
      </c>
      <c r="S61">
        <f t="shared" si="49"/>
        <v>0</v>
      </c>
      <c r="T61">
        <f t="shared" si="50"/>
        <v>9.4962935436828821E-2</v>
      </c>
      <c r="U61">
        <f t="shared" si="51"/>
        <v>0</v>
      </c>
      <c r="V61">
        <f t="shared" si="52"/>
        <v>0</v>
      </c>
      <c r="W61" s="3">
        <f t="shared" si="53"/>
        <v>9.4962935436828821E-2</v>
      </c>
      <c r="X61">
        <f t="shared" si="54"/>
        <v>0</v>
      </c>
      <c r="Y61">
        <f t="shared" si="55"/>
        <v>0</v>
      </c>
      <c r="Z61">
        <f t="shared" si="56"/>
        <v>0</v>
      </c>
      <c r="AA61">
        <f t="shared" si="57"/>
        <v>0</v>
      </c>
      <c r="AB61">
        <f t="shared" si="58"/>
        <v>0</v>
      </c>
      <c r="AC61">
        <f t="shared" si="59"/>
        <v>0</v>
      </c>
      <c r="AD61">
        <f t="shared" si="60"/>
        <v>100</v>
      </c>
      <c r="AE61">
        <f t="shared" si="61"/>
        <v>0</v>
      </c>
      <c r="AF61">
        <f t="shared" si="62"/>
        <v>0</v>
      </c>
      <c r="AG61" s="3">
        <f t="shared" si="63"/>
        <v>1.0156463683083297</v>
      </c>
    </row>
    <row r="62" spans="1:33" x14ac:dyDescent="0.25">
      <c r="A62" t="s">
        <v>68</v>
      </c>
      <c r="B62">
        <v>12.5</v>
      </c>
      <c r="C62">
        <v>0.85</v>
      </c>
      <c r="D62">
        <v>173.7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109.9</v>
      </c>
      <c r="L62">
        <v>0</v>
      </c>
      <c r="M62">
        <v>0</v>
      </c>
      <c r="N62">
        <f t="shared" si="44"/>
        <v>0</v>
      </c>
      <c r="O62">
        <f t="shared" si="45"/>
        <v>0</v>
      </c>
      <c r="P62">
        <f t="shared" si="46"/>
        <v>0</v>
      </c>
      <c r="Q62">
        <f t="shared" si="47"/>
        <v>0</v>
      </c>
      <c r="R62">
        <f t="shared" si="48"/>
        <v>0</v>
      </c>
      <c r="S62">
        <f t="shared" si="49"/>
        <v>0</v>
      </c>
      <c r="T62">
        <f t="shared" si="50"/>
        <v>0.11664045341332605</v>
      </c>
      <c r="U62">
        <f t="shared" si="51"/>
        <v>0</v>
      </c>
      <c r="V62">
        <f t="shared" si="52"/>
        <v>0</v>
      </c>
      <c r="W62" s="3">
        <f t="shared" si="53"/>
        <v>0.11664045341332605</v>
      </c>
      <c r="X62">
        <f t="shared" si="54"/>
        <v>0</v>
      </c>
      <c r="Y62">
        <f t="shared" si="55"/>
        <v>0</v>
      </c>
      <c r="Z62">
        <f t="shared" si="56"/>
        <v>0</v>
      </c>
      <c r="AA62">
        <f t="shared" si="57"/>
        <v>0</v>
      </c>
      <c r="AB62">
        <f t="shared" si="58"/>
        <v>0</v>
      </c>
      <c r="AC62">
        <f t="shared" si="59"/>
        <v>0</v>
      </c>
      <c r="AD62">
        <f t="shared" si="60"/>
        <v>100</v>
      </c>
      <c r="AE62">
        <f t="shared" si="61"/>
        <v>0</v>
      </c>
      <c r="AF62">
        <f t="shared" si="62"/>
        <v>0</v>
      </c>
      <c r="AG62" s="3">
        <f t="shared" si="63"/>
        <v>1.097792502713657</v>
      </c>
    </row>
    <row r="63" spans="1:33" x14ac:dyDescent="0.25">
      <c r="A63" t="s">
        <v>69</v>
      </c>
      <c r="B63">
        <v>12.7</v>
      </c>
      <c r="C63">
        <v>0.85</v>
      </c>
      <c r="D63">
        <v>171.1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116.1</v>
      </c>
      <c r="L63">
        <v>0</v>
      </c>
      <c r="M63">
        <v>0</v>
      </c>
      <c r="N63">
        <f t="shared" si="44"/>
        <v>0</v>
      </c>
      <c r="O63">
        <f t="shared" si="45"/>
        <v>0</v>
      </c>
      <c r="P63">
        <f t="shared" si="46"/>
        <v>0</v>
      </c>
      <c r="Q63">
        <f t="shared" si="47"/>
        <v>0</v>
      </c>
      <c r="R63">
        <f t="shared" si="48"/>
        <v>0</v>
      </c>
      <c r="S63">
        <f t="shared" si="49"/>
        <v>0</v>
      </c>
      <c r="T63">
        <f t="shared" si="50"/>
        <v>0.12509315192715861</v>
      </c>
      <c r="U63">
        <f t="shared" si="51"/>
        <v>0</v>
      </c>
      <c r="V63">
        <f t="shared" si="52"/>
        <v>0</v>
      </c>
      <c r="W63" s="3">
        <f t="shared" si="53"/>
        <v>0.12509315192715861</v>
      </c>
      <c r="X63">
        <f t="shared" si="54"/>
        <v>0</v>
      </c>
      <c r="Y63">
        <f t="shared" si="55"/>
        <v>0</v>
      </c>
      <c r="Z63">
        <f t="shared" si="56"/>
        <v>0</v>
      </c>
      <c r="AA63">
        <f t="shared" si="57"/>
        <v>0</v>
      </c>
      <c r="AB63">
        <f t="shared" si="58"/>
        <v>0</v>
      </c>
      <c r="AC63">
        <f t="shared" si="59"/>
        <v>0</v>
      </c>
      <c r="AD63">
        <f t="shared" si="60"/>
        <v>100</v>
      </c>
      <c r="AE63">
        <f t="shared" si="61"/>
        <v>0</v>
      </c>
      <c r="AF63">
        <f t="shared" si="62"/>
        <v>0</v>
      </c>
      <c r="AG63" s="3">
        <f t="shared" si="63"/>
        <v>1.158806409700404</v>
      </c>
    </row>
    <row r="64" spans="1:33" x14ac:dyDescent="0.25">
      <c r="A64" t="s">
        <v>70</v>
      </c>
      <c r="B64">
        <v>14.5</v>
      </c>
      <c r="C64">
        <v>0.85</v>
      </c>
      <c r="D64">
        <v>178.4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132.80000000000001</v>
      </c>
      <c r="L64">
        <v>0</v>
      </c>
      <c r="M64">
        <v>0</v>
      </c>
      <c r="N64">
        <f t="shared" ref="N64" si="64">((E64/D64)*(7/3.5)*0.000735*86.2*2)</f>
        <v>0</v>
      </c>
      <c r="O64">
        <f t="shared" ref="O64" si="65">((F64/D64)*(7/4.5)*0.000735*100.1*2)</f>
        <v>0</v>
      </c>
      <c r="P64">
        <f t="shared" ref="P64" si="66">((G64/D64)*(7/5.5)*0.000735*114.2*2)</f>
        <v>0</v>
      </c>
      <c r="Q64">
        <f t="shared" ref="Q64" si="67">((H64/D64)*(7/6.5)*0.000735*128.2*2)</f>
        <v>0</v>
      </c>
      <c r="R64">
        <f t="shared" ref="R64" si="68">((I64/D64)*(7/7.5)*0.000735*142.2*2)</f>
        <v>0</v>
      </c>
      <c r="S64">
        <f t="shared" ref="S64" si="69">((J64/D64)*(7/8.5)*0.000735*156.2*2)</f>
        <v>0</v>
      </c>
      <c r="T64">
        <f t="shared" ref="T64" si="70">((K64/D64)*(7/9.5)*0.000735*170.2*2)</f>
        <v>0.13723173377389661</v>
      </c>
      <c r="U64">
        <f t="shared" ref="U64" si="71">((L64/D64)*(7/10.5)*0.000735*184.2*2)</f>
        <v>0</v>
      </c>
      <c r="V64">
        <f t="shared" ref="V64" si="72">((M64/D64)*(7/11.5)*0.000735*198.2*2)</f>
        <v>0</v>
      </c>
      <c r="W64" s="3">
        <f t="shared" ref="W64" si="73">SUM(N64:V64)</f>
        <v>0.13723173377389661</v>
      </c>
      <c r="X64">
        <f t="shared" ref="X64" si="74">(N64/$W64)*100</f>
        <v>0</v>
      </c>
      <c r="Y64">
        <f t="shared" ref="Y64" si="75">(O64/$W64)*100</f>
        <v>0</v>
      </c>
      <c r="Z64">
        <f t="shared" ref="Z64" si="76">(P64/$W64)*100</f>
        <v>0</v>
      </c>
      <c r="AA64">
        <f t="shared" ref="AA64" si="77">(Q64/$W64)*100</f>
        <v>0</v>
      </c>
      <c r="AB64">
        <f t="shared" ref="AB64" si="78">(R64/$W64)*100</f>
        <v>0</v>
      </c>
      <c r="AC64">
        <f t="shared" ref="AC64" si="79">(S64/$W64)*100</f>
        <v>0</v>
      </c>
      <c r="AD64">
        <f t="shared" ref="AD64" si="80">(T64/$W64)*100</f>
        <v>100</v>
      </c>
      <c r="AE64">
        <f t="shared" ref="AE64" si="81">(U64/$W64)*100</f>
        <v>0</v>
      </c>
      <c r="AF64">
        <f t="shared" ref="AF64" si="82">(V64/$W64)*100</f>
        <v>0</v>
      </c>
      <c r="AG64" s="3">
        <f t="shared" ref="AG64" si="83">((W64/B64)*100)/C64</f>
        <v>1.1134420590174168</v>
      </c>
    </row>
  </sheetData>
  <mergeCells count="4">
    <mergeCell ref="A4:C4"/>
    <mergeCell ref="D15:M15"/>
    <mergeCell ref="N15:V15"/>
    <mergeCell ref="X15:AF15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D35A60-B689-420A-85A6-8A69AFC9331B}">
  <dimension ref="A1:V88"/>
  <sheetViews>
    <sheetView workbookViewId="0">
      <selection activeCell="S32" sqref="S32"/>
    </sheetView>
  </sheetViews>
  <sheetFormatPr defaultRowHeight="15" x14ac:dyDescent="0.25"/>
  <sheetData>
    <row r="1" spans="1:20" x14ac:dyDescent="0.25">
      <c r="A1" s="1" t="s">
        <v>109</v>
      </c>
      <c r="B1" s="71" t="s">
        <v>72</v>
      </c>
      <c r="C1" s="71"/>
      <c r="D1" s="71"/>
    </row>
    <row r="2" spans="1:20" x14ac:dyDescent="0.25">
      <c r="A2" s="1" t="s">
        <v>1</v>
      </c>
      <c r="B2" s="54" t="s">
        <v>154</v>
      </c>
      <c r="K2" s="48"/>
      <c r="L2" s="48"/>
      <c r="M2" s="48"/>
      <c r="N2" s="48"/>
      <c r="O2" s="48"/>
      <c r="P2" s="48"/>
      <c r="Q2" s="48"/>
      <c r="R2" s="48"/>
      <c r="S2" s="48"/>
      <c r="T2" s="48"/>
    </row>
    <row r="3" spans="1:20" x14ac:dyDescent="0.25">
      <c r="I3" s="47"/>
      <c r="K3" s="62"/>
      <c r="L3" s="62"/>
      <c r="M3" s="62"/>
      <c r="N3" s="62"/>
      <c r="O3" s="62"/>
      <c r="P3" s="62"/>
      <c r="Q3" s="62"/>
      <c r="R3" s="62"/>
      <c r="S3" s="62"/>
      <c r="T3" s="62"/>
    </row>
    <row r="6" spans="1:20" x14ac:dyDescent="0.25">
      <c r="E6" s="68" t="s">
        <v>138</v>
      </c>
      <c r="F6" s="68"/>
      <c r="G6" s="68"/>
      <c r="K6" s="59"/>
      <c r="L6" s="8"/>
      <c r="M6" s="8"/>
      <c r="O6" s="8"/>
      <c r="P6" s="59"/>
      <c r="R6" s="8"/>
      <c r="T6" s="8"/>
    </row>
    <row r="7" spans="1:20" x14ac:dyDescent="0.25">
      <c r="E7" s="73" t="s">
        <v>139</v>
      </c>
      <c r="F7" s="73"/>
      <c r="G7" s="73"/>
      <c r="K7" s="59"/>
      <c r="L7" s="8"/>
      <c r="M7" s="68" t="s">
        <v>147</v>
      </c>
      <c r="N7" s="68"/>
      <c r="O7" s="68"/>
      <c r="P7" s="59"/>
      <c r="R7" s="8"/>
      <c r="T7" s="8"/>
    </row>
    <row r="8" spans="1:20" x14ac:dyDescent="0.25">
      <c r="E8" s="68" t="s">
        <v>140</v>
      </c>
      <c r="F8" s="68"/>
      <c r="G8" s="68"/>
      <c r="K8" s="59"/>
      <c r="L8" s="68" t="s">
        <v>144</v>
      </c>
      <c r="M8" s="68"/>
      <c r="N8" s="68"/>
      <c r="O8" s="68"/>
      <c r="P8" s="59"/>
      <c r="R8" s="8"/>
      <c r="T8" s="8"/>
    </row>
    <row r="9" spans="1:20" x14ac:dyDescent="0.25">
      <c r="F9" t="s">
        <v>118</v>
      </c>
      <c r="G9" t="s">
        <v>142</v>
      </c>
      <c r="H9" t="s">
        <v>143</v>
      </c>
      <c r="I9" t="s">
        <v>141</v>
      </c>
      <c r="K9" s="59"/>
      <c r="L9" s="73">
        <v>44628</v>
      </c>
      <c r="M9" s="68"/>
      <c r="N9" s="68"/>
      <c r="O9" s="68"/>
      <c r="P9" s="59"/>
      <c r="R9" s="8"/>
      <c r="T9" s="8"/>
    </row>
    <row r="10" spans="1:20" x14ac:dyDescent="0.25">
      <c r="E10" s="63">
        <v>-1</v>
      </c>
      <c r="F10" s="63">
        <v>3.3279999999999998</v>
      </c>
      <c r="G10" s="63">
        <f>F10/0.429397688926138</f>
        <v>7.7503910380208385</v>
      </c>
      <c r="H10" s="63">
        <v>1</v>
      </c>
      <c r="I10" s="63">
        <f>G10*H10</f>
        <v>7.7503910380208385</v>
      </c>
      <c r="K10" s="59"/>
      <c r="L10" s="68" t="s">
        <v>145</v>
      </c>
      <c r="M10" s="68"/>
      <c r="N10" s="68"/>
      <c r="O10" s="68"/>
      <c r="P10" s="59"/>
      <c r="R10" s="8"/>
      <c r="T10" s="8"/>
    </row>
    <row r="11" spans="1:20" x14ac:dyDescent="0.25">
      <c r="E11" s="63">
        <v>0</v>
      </c>
      <c r="F11" s="63">
        <v>3.2160000000000002</v>
      </c>
      <c r="G11" s="63">
        <f t="shared" ref="G11:G45" si="0">F11/0.429397688926138</f>
        <v>7.4895605703951382</v>
      </c>
      <c r="H11" s="63">
        <v>1</v>
      </c>
      <c r="I11" s="63">
        <f t="shared" ref="I11:I45" si="1">G11*H11</f>
        <v>7.4895605703951382</v>
      </c>
      <c r="J11" s="60"/>
      <c r="K11" s="59"/>
      <c r="M11" t="s">
        <v>118</v>
      </c>
      <c r="N11" t="s">
        <v>146</v>
      </c>
      <c r="O11" t="s">
        <v>103</v>
      </c>
      <c r="P11" s="59"/>
      <c r="R11" s="8"/>
      <c r="T11" s="8"/>
    </row>
    <row r="12" spans="1:20" x14ac:dyDescent="0.25">
      <c r="E12" s="63">
        <v>1</v>
      </c>
      <c r="F12" s="63">
        <v>3.3420000000000001</v>
      </c>
      <c r="G12" s="63">
        <f t="shared" si="0"/>
        <v>7.7829948464740522</v>
      </c>
      <c r="H12" s="63">
        <v>1</v>
      </c>
      <c r="I12" s="63">
        <f t="shared" si="1"/>
        <v>7.7829948464740522</v>
      </c>
      <c r="J12" s="60"/>
      <c r="K12" s="59"/>
      <c r="L12">
        <v>-1</v>
      </c>
      <c r="M12">
        <v>1.0189999999999999</v>
      </c>
      <c r="N12">
        <f>M12/0.409410534471549</f>
        <v>2.488944260594772</v>
      </c>
      <c r="O12">
        <f>N12*100</f>
        <v>248.89442605947721</v>
      </c>
      <c r="P12" s="59"/>
      <c r="R12" s="8"/>
      <c r="T12" s="8"/>
    </row>
    <row r="13" spans="1:20" x14ac:dyDescent="0.25">
      <c r="E13" s="63">
        <v>2</v>
      </c>
      <c r="F13" s="63">
        <v>3.3410000000000002</v>
      </c>
      <c r="G13" s="63">
        <f t="shared" si="0"/>
        <v>7.7806660030131081</v>
      </c>
      <c r="H13" s="63">
        <v>1</v>
      </c>
      <c r="I13" s="63">
        <f t="shared" si="1"/>
        <v>7.7806660030131081</v>
      </c>
      <c r="J13" s="60"/>
      <c r="K13" s="59"/>
      <c r="L13">
        <v>0</v>
      </c>
      <c r="M13">
        <v>0.997</v>
      </c>
      <c r="N13">
        <f t="shared" ref="N13:N19" si="2">M13/0.409410534471549</f>
        <v>2.4352084669411069</v>
      </c>
      <c r="O13">
        <f t="shared" ref="O13:O19" si="3">N13*100</f>
        <v>243.5208466941107</v>
      </c>
      <c r="P13" s="59"/>
      <c r="R13" s="8"/>
      <c r="T13" s="8"/>
    </row>
    <row r="14" spans="1:20" x14ac:dyDescent="0.25">
      <c r="E14" s="63">
        <v>3</v>
      </c>
      <c r="F14" s="63">
        <v>2.9969999999999999</v>
      </c>
      <c r="G14" s="63">
        <f t="shared" si="0"/>
        <v>6.9795438524484537</v>
      </c>
      <c r="H14" s="63">
        <v>1</v>
      </c>
      <c r="I14" s="63">
        <f t="shared" si="1"/>
        <v>6.9795438524484537</v>
      </c>
      <c r="J14" s="60"/>
      <c r="K14" s="59"/>
      <c r="L14">
        <v>1</v>
      </c>
      <c r="M14">
        <v>0.97099999999999997</v>
      </c>
      <c r="N14">
        <f t="shared" si="2"/>
        <v>2.3717025289867748</v>
      </c>
      <c r="O14">
        <f t="shared" si="3"/>
        <v>237.17025289867749</v>
      </c>
      <c r="P14" s="59"/>
      <c r="R14" s="8"/>
      <c r="T14" s="8"/>
    </row>
    <row r="15" spans="1:20" x14ac:dyDescent="0.25">
      <c r="E15" s="63">
        <v>5</v>
      </c>
      <c r="F15" s="63">
        <v>2.4079999999999999</v>
      </c>
      <c r="G15" s="63">
        <f t="shared" si="0"/>
        <v>5.6078550539525782</v>
      </c>
      <c r="H15" s="63">
        <v>1</v>
      </c>
      <c r="I15" s="63">
        <f t="shared" si="1"/>
        <v>5.6078550539525782</v>
      </c>
      <c r="J15" s="60"/>
      <c r="K15" s="59"/>
      <c r="L15">
        <v>2</v>
      </c>
      <c r="M15">
        <v>0.94299999999999995</v>
      </c>
      <c r="N15">
        <f t="shared" si="2"/>
        <v>2.3033115188821101</v>
      </c>
      <c r="O15">
        <f t="shared" si="3"/>
        <v>230.331151888211</v>
      </c>
      <c r="P15" s="59"/>
      <c r="R15" s="8"/>
      <c r="T15" s="8"/>
    </row>
    <row r="16" spans="1:20" x14ac:dyDescent="0.25">
      <c r="E16" s="63">
        <v>8</v>
      </c>
      <c r="F16" s="63">
        <v>3.0390000000000001</v>
      </c>
      <c r="G16" s="63">
        <f t="shared" si="0"/>
        <v>7.0773552778080919</v>
      </c>
      <c r="H16" s="63">
        <v>1</v>
      </c>
      <c r="I16" s="63">
        <f t="shared" si="1"/>
        <v>7.0773552778080919</v>
      </c>
      <c r="J16" s="60"/>
      <c r="K16" s="59"/>
      <c r="L16">
        <v>3</v>
      </c>
      <c r="M16">
        <v>0.88100000000000001</v>
      </c>
      <c r="N16">
        <f t="shared" si="2"/>
        <v>2.1518742822217805</v>
      </c>
      <c r="O16">
        <f t="shared" si="3"/>
        <v>215.18742822217806</v>
      </c>
      <c r="P16" s="59"/>
      <c r="R16" s="8"/>
      <c r="T16" s="8"/>
    </row>
    <row r="17" spans="3:20" x14ac:dyDescent="0.25">
      <c r="E17">
        <v>24</v>
      </c>
      <c r="F17">
        <v>0.497</v>
      </c>
      <c r="G17">
        <f t="shared" si="0"/>
        <v>1.1574352000890495</v>
      </c>
      <c r="H17">
        <v>1</v>
      </c>
      <c r="I17">
        <f t="shared" si="1"/>
        <v>1.1574352000890495</v>
      </c>
      <c r="J17" s="60"/>
      <c r="K17" s="60"/>
      <c r="L17">
        <v>5</v>
      </c>
      <c r="M17">
        <v>0.65600000000000003</v>
      </c>
      <c r="N17">
        <f t="shared" si="2"/>
        <v>1.6023036653092939</v>
      </c>
      <c r="O17">
        <f t="shared" si="3"/>
        <v>160.23036653092939</v>
      </c>
      <c r="P17" s="59"/>
      <c r="R17" s="8"/>
      <c r="T17" s="8"/>
    </row>
    <row r="18" spans="3:20" x14ac:dyDescent="0.25">
      <c r="E18">
        <v>48</v>
      </c>
      <c r="F18">
        <v>0.501</v>
      </c>
      <c r="G18">
        <f t="shared" si="0"/>
        <v>1.1667505739328246</v>
      </c>
      <c r="H18">
        <v>1</v>
      </c>
      <c r="I18">
        <f t="shared" si="1"/>
        <v>1.1667505739328246</v>
      </c>
      <c r="J18" s="60"/>
      <c r="K18" s="60"/>
      <c r="L18">
        <v>8</v>
      </c>
      <c r="M18">
        <v>0.10100000000000001</v>
      </c>
      <c r="N18">
        <f t="shared" si="2"/>
        <v>0.24669614359182729</v>
      </c>
      <c r="O18">
        <f t="shared" si="3"/>
        <v>24.669614359182727</v>
      </c>
    </row>
    <row r="19" spans="3:20" x14ac:dyDescent="0.25">
      <c r="E19">
        <v>79</v>
      </c>
      <c r="F19">
        <v>0.28799999999999998</v>
      </c>
      <c r="G19">
        <f t="shared" si="0"/>
        <v>0.67070691675180327</v>
      </c>
      <c r="H19">
        <v>1</v>
      </c>
      <c r="I19">
        <f t="shared" si="1"/>
        <v>0.67070691675180327</v>
      </c>
      <c r="J19" s="60"/>
      <c r="K19" s="60"/>
      <c r="L19">
        <v>24</v>
      </c>
      <c r="M19">
        <v>7.0000000000000001E-3</v>
      </c>
      <c r="N19">
        <f t="shared" si="2"/>
        <v>1.7097752526166247E-2</v>
      </c>
      <c r="O19">
        <f t="shared" si="3"/>
        <v>1.7097752526166248</v>
      </c>
    </row>
    <row r="20" spans="3:20" x14ac:dyDescent="0.25">
      <c r="E20">
        <v>99</v>
      </c>
      <c r="F20">
        <v>0.27900000000000003</v>
      </c>
      <c r="G20">
        <f t="shared" si="0"/>
        <v>0.64974732560330961</v>
      </c>
      <c r="H20">
        <v>1</v>
      </c>
      <c r="I20">
        <f t="shared" si="1"/>
        <v>0.64974732560330961</v>
      </c>
      <c r="J20" s="60"/>
      <c r="K20" s="60"/>
      <c r="L20" s="60"/>
      <c r="M20" s="60"/>
      <c r="N20" s="60"/>
    </row>
    <row r="21" spans="3:20" x14ac:dyDescent="0.25">
      <c r="E21">
        <v>122</v>
      </c>
      <c r="F21">
        <v>0.2</v>
      </c>
      <c r="G21">
        <f t="shared" si="0"/>
        <v>0.46576869218875239</v>
      </c>
      <c r="H21">
        <v>1</v>
      </c>
      <c r="I21">
        <f t="shared" si="1"/>
        <v>0.46576869218875239</v>
      </c>
      <c r="J21" s="60"/>
      <c r="K21" s="60"/>
      <c r="L21" s="60"/>
      <c r="M21" s="60"/>
      <c r="N21" s="60"/>
    </row>
    <row r="22" spans="3:20" x14ac:dyDescent="0.25">
      <c r="E22">
        <v>144</v>
      </c>
      <c r="F22">
        <v>0.67100000000000004</v>
      </c>
      <c r="G22">
        <f t="shared" si="0"/>
        <v>1.5626539622932643</v>
      </c>
      <c r="H22">
        <v>1</v>
      </c>
      <c r="I22">
        <f t="shared" si="1"/>
        <v>1.5626539622932643</v>
      </c>
      <c r="J22" s="60"/>
      <c r="K22" s="60"/>
      <c r="L22" s="60"/>
      <c r="M22" s="60"/>
      <c r="N22" s="60"/>
    </row>
    <row r="23" spans="3:20" x14ac:dyDescent="0.25">
      <c r="E23">
        <v>169</v>
      </c>
      <c r="F23">
        <v>0.69</v>
      </c>
      <c r="G23">
        <f t="shared" si="0"/>
        <v>1.6069019880511954</v>
      </c>
      <c r="H23">
        <v>1</v>
      </c>
      <c r="I23">
        <f t="shared" si="1"/>
        <v>1.6069019880511954</v>
      </c>
      <c r="J23" s="60"/>
      <c r="K23" s="60"/>
      <c r="L23" s="60"/>
      <c r="M23" s="60"/>
      <c r="N23" s="60"/>
    </row>
    <row r="24" spans="3:20" x14ac:dyDescent="0.25">
      <c r="E24">
        <v>192</v>
      </c>
      <c r="F24">
        <v>0.64300000000000002</v>
      </c>
      <c r="G24">
        <f t="shared" si="0"/>
        <v>1.4974463453868387</v>
      </c>
      <c r="H24">
        <v>1</v>
      </c>
      <c r="I24">
        <f t="shared" si="1"/>
        <v>1.4974463453868387</v>
      </c>
    </row>
    <row r="25" spans="3:20" x14ac:dyDescent="0.25">
      <c r="E25">
        <v>263</v>
      </c>
      <c r="F25">
        <v>0.10299999999999999</v>
      </c>
      <c r="G25">
        <f t="shared" si="0"/>
        <v>0.23987087647720745</v>
      </c>
      <c r="H25">
        <v>1</v>
      </c>
      <c r="I25">
        <f t="shared" si="1"/>
        <v>0.23987087647720745</v>
      </c>
    </row>
    <row r="26" spans="3:20" x14ac:dyDescent="0.25">
      <c r="E26">
        <v>335</v>
      </c>
      <c r="F26">
        <v>0.125</v>
      </c>
      <c r="G26">
        <f t="shared" si="0"/>
        <v>0.29110543261797023</v>
      </c>
      <c r="H26">
        <v>1</v>
      </c>
      <c r="I26">
        <f t="shared" si="1"/>
        <v>0.29110543261797023</v>
      </c>
    </row>
    <row r="27" spans="3:20" x14ac:dyDescent="0.25">
      <c r="C27" s="72"/>
      <c r="D27" s="72"/>
      <c r="E27">
        <v>434</v>
      </c>
      <c r="F27">
        <v>0.121</v>
      </c>
      <c r="G27">
        <f t="shared" si="0"/>
        <v>0.28179005877419516</v>
      </c>
      <c r="H27">
        <v>1</v>
      </c>
      <c r="I27">
        <f t="shared" si="1"/>
        <v>0.28179005877419516</v>
      </c>
    </row>
    <row r="28" spans="3:20" x14ac:dyDescent="0.25">
      <c r="E28">
        <v>505</v>
      </c>
      <c r="F28">
        <v>0.107</v>
      </c>
      <c r="G28">
        <f t="shared" si="0"/>
        <v>0.24918625032098249</v>
      </c>
      <c r="H28">
        <v>1</v>
      </c>
      <c r="I28">
        <f t="shared" si="1"/>
        <v>0.24918625032098249</v>
      </c>
    </row>
    <row r="29" spans="3:20" x14ac:dyDescent="0.25">
      <c r="C29" s="47"/>
      <c r="E29">
        <v>578</v>
      </c>
      <c r="F29">
        <v>7.0999999999999994E-2</v>
      </c>
      <c r="G29">
        <f t="shared" si="0"/>
        <v>0.16534788572700707</v>
      </c>
      <c r="H29">
        <v>1</v>
      </c>
      <c r="I29">
        <f t="shared" si="1"/>
        <v>0.16534788572700707</v>
      </c>
    </row>
    <row r="30" spans="3:20" x14ac:dyDescent="0.25">
      <c r="E30">
        <v>650</v>
      </c>
      <c r="F30">
        <v>5.0999999999999997E-2</v>
      </c>
      <c r="G30">
        <f t="shared" si="0"/>
        <v>0.11877101650813184</v>
      </c>
      <c r="H30">
        <v>1</v>
      </c>
      <c r="I30">
        <f t="shared" si="1"/>
        <v>0.11877101650813184</v>
      </c>
    </row>
    <row r="31" spans="3:20" x14ac:dyDescent="0.25">
      <c r="E31">
        <v>720</v>
      </c>
      <c r="F31">
        <v>-2.4E-2</v>
      </c>
      <c r="G31">
        <f t="shared" si="0"/>
        <v>-5.5892243062650282E-2</v>
      </c>
      <c r="H31">
        <v>1</v>
      </c>
      <c r="I31">
        <f t="shared" si="1"/>
        <v>-5.5892243062650282E-2</v>
      </c>
    </row>
    <row r="32" spans="3:20" x14ac:dyDescent="0.25">
      <c r="E32">
        <v>793</v>
      </c>
      <c r="F32">
        <v>2.1999999999999999E-2</v>
      </c>
      <c r="G32">
        <f t="shared" si="0"/>
        <v>5.1234556140762756E-2</v>
      </c>
      <c r="H32">
        <v>1</v>
      </c>
      <c r="I32">
        <f t="shared" si="1"/>
        <v>5.1234556140762756E-2</v>
      </c>
    </row>
    <row r="33" spans="3:9" x14ac:dyDescent="0.25">
      <c r="C33" s="52"/>
      <c r="D33" s="52"/>
      <c r="E33">
        <v>864</v>
      </c>
      <c r="F33">
        <v>3.3000000000000002E-2</v>
      </c>
      <c r="G33">
        <f t="shared" si="0"/>
        <v>7.6851834211144138E-2</v>
      </c>
      <c r="H33">
        <v>1</v>
      </c>
      <c r="I33">
        <f t="shared" si="1"/>
        <v>7.6851834211144138E-2</v>
      </c>
    </row>
    <row r="34" spans="3:9" x14ac:dyDescent="0.25">
      <c r="C34" s="52"/>
      <c r="D34" s="52"/>
      <c r="E34">
        <v>939</v>
      </c>
      <c r="F34">
        <v>5.5E-2</v>
      </c>
      <c r="G34">
        <f t="shared" si="0"/>
        <v>0.12808639035190689</v>
      </c>
      <c r="H34">
        <v>1</v>
      </c>
      <c r="I34">
        <f t="shared" si="1"/>
        <v>0.12808639035190689</v>
      </c>
    </row>
    <row r="35" spans="3:9" x14ac:dyDescent="0.25">
      <c r="C35" s="52"/>
      <c r="D35" s="52"/>
      <c r="E35">
        <v>1009</v>
      </c>
      <c r="F35">
        <v>1.2E-2</v>
      </c>
      <c r="G35">
        <f t="shared" si="0"/>
        <v>2.7946121531325141E-2</v>
      </c>
      <c r="H35">
        <v>1</v>
      </c>
      <c r="I35">
        <f t="shared" si="1"/>
        <v>2.7946121531325141E-2</v>
      </c>
    </row>
    <row r="36" spans="3:9" x14ac:dyDescent="0.25">
      <c r="C36" s="52"/>
      <c r="D36" s="52"/>
      <c r="E36">
        <v>1084</v>
      </c>
      <c r="F36">
        <v>7.5999999999999998E-2</v>
      </c>
      <c r="G36">
        <f t="shared" si="0"/>
        <v>0.17699210303172588</v>
      </c>
      <c r="H36">
        <v>1</v>
      </c>
      <c r="I36">
        <f t="shared" si="1"/>
        <v>0.17699210303172588</v>
      </c>
    </row>
    <row r="37" spans="3:9" x14ac:dyDescent="0.25">
      <c r="C37" s="52"/>
      <c r="D37" s="52"/>
      <c r="E37">
        <v>1155</v>
      </c>
      <c r="F37">
        <v>4.0000000000000001E-3</v>
      </c>
      <c r="G37">
        <f t="shared" si="0"/>
        <v>9.3153738437750464E-3</v>
      </c>
      <c r="H37">
        <v>1</v>
      </c>
      <c r="I37">
        <f t="shared" si="1"/>
        <v>9.3153738437750464E-3</v>
      </c>
    </row>
    <row r="38" spans="3:9" x14ac:dyDescent="0.25">
      <c r="C38" s="52"/>
      <c r="D38" s="52"/>
      <c r="E38">
        <v>1227</v>
      </c>
      <c r="F38">
        <v>3.3000000000000002E-2</v>
      </c>
      <c r="G38">
        <f t="shared" si="0"/>
        <v>7.6851834211144138E-2</v>
      </c>
      <c r="H38">
        <v>1</v>
      </c>
      <c r="I38">
        <f t="shared" si="1"/>
        <v>7.6851834211144138E-2</v>
      </c>
    </row>
    <row r="39" spans="3:9" x14ac:dyDescent="0.25">
      <c r="C39" s="52"/>
      <c r="D39" s="52"/>
      <c r="E39">
        <v>1396</v>
      </c>
      <c r="F39">
        <v>-2.1999999999999999E-2</v>
      </c>
      <c r="G39">
        <f t="shared" si="0"/>
        <v>-5.1234556140762756E-2</v>
      </c>
      <c r="H39">
        <v>1</v>
      </c>
      <c r="I39">
        <f t="shared" si="1"/>
        <v>-5.1234556140762756E-2</v>
      </c>
    </row>
    <row r="40" spans="3:9" x14ac:dyDescent="0.25">
      <c r="C40" s="52"/>
      <c r="D40" s="52"/>
      <c r="E40">
        <v>1563</v>
      </c>
      <c r="F40">
        <v>5.8999999999999997E-2</v>
      </c>
      <c r="G40">
        <f t="shared" si="0"/>
        <v>0.13740176419568192</v>
      </c>
      <c r="H40">
        <v>1</v>
      </c>
      <c r="I40">
        <f t="shared" si="1"/>
        <v>0.13740176419568192</v>
      </c>
    </row>
    <row r="41" spans="3:9" x14ac:dyDescent="0.25">
      <c r="C41" s="52"/>
      <c r="D41" s="52"/>
      <c r="E41">
        <v>1827</v>
      </c>
      <c r="F41">
        <v>8.9999999999999993E-3</v>
      </c>
      <c r="G41">
        <f t="shared" si="0"/>
        <v>2.0959591148493852E-2</v>
      </c>
      <c r="H41">
        <v>1</v>
      </c>
      <c r="I41">
        <f t="shared" si="1"/>
        <v>2.0959591148493852E-2</v>
      </c>
    </row>
    <row r="42" spans="3:9" x14ac:dyDescent="0.25">
      <c r="C42" s="52"/>
      <c r="D42" s="52"/>
      <c r="E42">
        <v>1973</v>
      </c>
      <c r="F42">
        <v>7.5999999999999998E-2</v>
      </c>
      <c r="G42">
        <f t="shared" si="0"/>
        <v>0.17699210303172588</v>
      </c>
      <c r="H42">
        <v>1</v>
      </c>
      <c r="I42">
        <f t="shared" si="1"/>
        <v>0.17699210303172588</v>
      </c>
    </row>
    <row r="43" spans="3:9" x14ac:dyDescent="0.25">
      <c r="C43" s="52"/>
      <c r="D43" s="52"/>
      <c r="E43">
        <v>2065</v>
      </c>
      <c r="F43">
        <v>8.7999999999999995E-2</v>
      </c>
      <c r="G43">
        <f t="shared" si="0"/>
        <v>0.20493822456305102</v>
      </c>
      <c r="H43">
        <v>1</v>
      </c>
      <c r="I43">
        <f t="shared" si="1"/>
        <v>0.20493822456305102</v>
      </c>
    </row>
    <row r="44" spans="3:9" x14ac:dyDescent="0.25">
      <c r="C44" s="52"/>
      <c r="D44" s="52"/>
      <c r="E44">
        <v>2216</v>
      </c>
      <c r="F44">
        <v>9.1999999999999998E-2</v>
      </c>
      <c r="G44">
        <f t="shared" si="0"/>
        <v>0.21425359840682606</v>
      </c>
      <c r="H44">
        <v>1</v>
      </c>
      <c r="I44">
        <f t="shared" si="1"/>
        <v>0.21425359840682606</v>
      </c>
    </row>
    <row r="45" spans="3:9" x14ac:dyDescent="0.25">
      <c r="E45">
        <v>2378</v>
      </c>
      <c r="F45">
        <v>9.5000000000000001E-2</v>
      </c>
      <c r="G45">
        <f t="shared" si="0"/>
        <v>0.22124012878965738</v>
      </c>
      <c r="H45">
        <v>1</v>
      </c>
      <c r="I45">
        <f t="shared" si="1"/>
        <v>0.22124012878965738</v>
      </c>
    </row>
    <row r="53" spans="2:21" x14ac:dyDescent="0.25">
      <c r="B53" s="72" t="s">
        <v>122</v>
      </c>
      <c r="C53" s="72"/>
    </row>
    <row r="54" spans="2:21" x14ac:dyDescent="0.25">
      <c r="B54" s="47">
        <v>44628</v>
      </c>
    </row>
    <row r="55" spans="2:21" x14ac:dyDescent="0.25">
      <c r="B55" t="s">
        <v>125</v>
      </c>
    </row>
    <row r="56" spans="2:21" x14ac:dyDescent="0.25">
      <c r="R56" cm="1">
        <f t="array" ref="R56:S60">LINEST(E58:E67,D58:D67,,TRUE)</f>
        <v>0.40941053447154946</v>
      </c>
      <c r="S56">
        <v>1.100543099846793E-3</v>
      </c>
      <c r="T56" t="s">
        <v>128</v>
      </c>
      <c r="U56" t="s">
        <v>129</v>
      </c>
    </row>
    <row r="57" spans="2:21" x14ac:dyDescent="0.25">
      <c r="B57" t="s">
        <v>121</v>
      </c>
      <c r="C57" t="s">
        <v>148</v>
      </c>
      <c r="D57" t="s">
        <v>126</v>
      </c>
      <c r="E57" t="s">
        <v>127</v>
      </c>
      <c r="R57">
        <v>2.2685222720699814E-3</v>
      </c>
      <c r="S57">
        <v>1.0845130724574821E-3</v>
      </c>
      <c r="T57" t="s">
        <v>130</v>
      </c>
      <c r="U57" t="s">
        <v>131</v>
      </c>
    </row>
    <row r="58" spans="2:21" x14ac:dyDescent="0.25">
      <c r="B58" t="s">
        <v>149</v>
      </c>
      <c r="C58">
        <f>C59*2</f>
        <v>1.3092500000000001E-3</v>
      </c>
      <c r="D58">
        <f>1000*C58</f>
        <v>1.30925</v>
      </c>
      <c r="E58" s="59">
        <v>0.53500000000000003</v>
      </c>
      <c r="R58">
        <v>0.99975444352037868</v>
      </c>
      <c r="S58">
        <v>2.8705513616219067E-3</v>
      </c>
      <c r="T58" t="s">
        <v>132</v>
      </c>
      <c r="U58" t="s">
        <v>133</v>
      </c>
    </row>
    <row r="59" spans="2:21" x14ac:dyDescent="0.25">
      <c r="B59" t="s">
        <v>150</v>
      </c>
      <c r="C59">
        <v>6.5462500000000004E-4</v>
      </c>
      <c r="D59">
        <f t="shared" ref="D59:D67" si="4">1000*C59</f>
        <v>0.65462500000000001</v>
      </c>
      <c r="E59" s="59">
        <v>0.27300000000000002</v>
      </c>
      <c r="R59">
        <v>32571.062920011009</v>
      </c>
      <c r="S59">
        <v>8</v>
      </c>
      <c r="T59" t="s">
        <v>134</v>
      </c>
      <c r="U59" t="s">
        <v>135</v>
      </c>
    </row>
    <row r="60" spans="2:21" x14ac:dyDescent="0.25">
      <c r="B60">
        <v>0.5</v>
      </c>
      <c r="C60">
        <f>0.000654625*B60</f>
        <v>3.2731250000000002E-4</v>
      </c>
      <c r="D60">
        <f t="shared" si="4"/>
        <v>0.32731250000000001</v>
      </c>
      <c r="E60" s="59">
        <v>0.13600000000000001</v>
      </c>
      <c r="R60">
        <v>0.26838767947904235</v>
      </c>
      <c r="S60">
        <v>6.5920520957675062E-5</v>
      </c>
      <c r="T60" t="s">
        <v>136</v>
      </c>
      <c r="U60" t="s">
        <v>137</v>
      </c>
    </row>
    <row r="61" spans="2:21" x14ac:dyDescent="0.25">
      <c r="B61">
        <f>B60/2</f>
        <v>0.25</v>
      </c>
      <c r="C61">
        <f t="shared" ref="C61:C67" si="5">0.000654625*B61</f>
        <v>1.6365625000000001E-4</v>
      </c>
      <c r="D61">
        <f t="shared" si="4"/>
        <v>0.16365625</v>
      </c>
      <c r="E61" s="59">
        <v>7.0000000000000007E-2</v>
      </c>
    </row>
    <row r="62" spans="2:21" x14ac:dyDescent="0.25">
      <c r="B62">
        <f>B61/2</f>
        <v>0.125</v>
      </c>
      <c r="C62">
        <f t="shared" si="5"/>
        <v>8.1828125000000005E-5</v>
      </c>
      <c r="D62">
        <f t="shared" si="4"/>
        <v>8.1828125000000002E-2</v>
      </c>
      <c r="E62" s="59">
        <v>2.9000000000000001E-2</v>
      </c>
    </row>
    <row r="63" spans="2:21" x14ac:dyDescent="0.25">
      <c r="B63">
        <f t="shared" ref="B63:B67" si="6">B62/2</f>
        <v>6.25E-2</v>
      </c>
      <c r="C63">
        <f t="shared" si="5"/>
        <v>4.0914062500000003E-5</v>
      </c>
      <c r="D63">
        <f t="shared" si="4"/>
        <v>4.0914062500000001E-2</v>
      </c>
      <c r="E63" s="59">
        <v>0.02</v>
      </c>
    </row>
    <row r="64" spans="2:21" x14ac:dyDescent="0.25">
      <c r="B64">
        <f t="shared" si="6"/>
        <v>3.125E-2</v>
      </c>
      <c r="C64">
        <f t="shared" si="5"/>
        <v>2.0457031250000001E-5</v>
      </c>
      <c r="D64">
        <f t="shared" si="4"/>
        <v>2.045703125E-2</v>
      </c>
      <c r="E64" s="59">
        <v>8.9999999999999993E-3</v>
      </c>
    </row>
    <row r="65" spans="2:5" x14ac:dyDescent="0.25">
      <c r="B65">
        <f t="shared" si="6"/>
        <v>1.5625E-2</v>
      </c>
      <c r="C65">
        <f t="shared" si="5"/>
        <v>1.0228515625000001E-5</v>
      </c>
      <c r="D65">
        <f t="shared" si="4"/>
        <v>1.0228515625E-2</v>
      </c>
      <c r="E65" s="59">
        <v>7.0000000000000001E-3</v>
      </c>
    </row>
    <row r="66" spans="2:5" x14ac:dyDescent="0.25">
      <c r="B66">
        <f t="shared" si="6"/>
        <v>7.8125E-3</v>
      </c>
      <c r="C66">
        <f t="shared" si="5"/>
        <v>5.1142578125000003E-6</v>
      </c>
      <c r="D66">
        <f t="shared" si="4"/>
        <v>5.1142578125000001E-3</v>
      </c>
      <c r="E66" s="59">
        <v>2E-3</v>
      </c>
    </row>
    <row r="67" spans="2:5" x14ac:dyDescent="0.25">
      <c r="B67">
        <f t="shared" si="6"/>
        <v>3.90625E-3</v>
      </c>
      <c r="C67">
        <f t="shared" si="5"/>
        <v>2.5571289062500002E-6</v>
      </c>
      <c r="D67">
        <f t="shared" si="4"/>
        <v>2.55712890625E-3</v>
      </c>
      <c r="E67" s="59">
        <v>1E-3</v>
      </c>
    </row>
    <row r="74" spans="2:5" x14ac:dyDescent="0.25">
      <c r="B74" s="72" t="s">
        <v>122</v>
      </c>
      <c r="C74" s="72"/>
    </row>
    <row r="75" spans="2:5" x14ac:dyDescent="0.25">
      <c r="B75" s="47" t="s">
        <v>151</v>
      </c>
    </row>
    <row r="76" spans="2:5" x14ac:dyDescent="0.25">
      <c r="B76" t="s">
        <v>125</v>
      </c>
    </row>
    <row r="78" spans="2:5" x14ac:dyDescent="0.25">
      <c r="B78" t="s">
        <v>121</v>
      </c>
      <c r="C78" t="s">
        <v>148</v>
      </c>
      <c r="D78" t="s">
        <v>126</v>
      </c>
      <c r="E78" t="s">
        <v>127</v>
      </c>
    </row>
    <row r="79" spans="2:5" x14ac:dyDescent="0.25">
      <c r="B79" t="s">
        <v>153</v>
      </c>
      <c r="C79">
        <v>6.54625E-3</v>
      </c>
      <c r="D79" s="64">
        <f>1000*C79</f>
        <v>6.5462499999999997</v>
      </c>
      <c r="E79" s="64">
        <v>3.3210000000000002</v>
      </c>
    </row>
    <row r="80" spans="2:5" x14ac:dyDescent="0.25">
      <c r="B80">
        <v>5</v>
      </c>
      <c r="C80">
        <f>C79/2</f>
        <v>3.273125E-3</v>
      </c>
      <c r="D80">
        <f t="shared" ref="D80:D88" si="7">1000*C80</f>
        <v>3.2731249999999998</v>
      </c>
      <c r="E80">
        <v>1.4039999999999999</v>
      </c>
    </row>
    <row r="81" spans="2:22" x14ac:dyDescent="0.25">
      <c r="B81">
        <f>B80/2</f>
        <v>2.5</v>
      </c>
      <c r="C81">
        <f>C80/2</f>
        <v>1.6365625E-3</v>
      </c>
      <c r="D81">
        <f t="shared" si="7"/>
        <v>1.6365624999999999</v>
      </c>
      <c r="E81">
        <v>0.70199999999999996</v>
      </c>
    </row>
    <row r="82" spans="2:22" x14ac:dyDescent="0.25">
      <c r="B82">
        <f>B81/2</f>
        <v>1.25</v>
      </c>
      <c r="C82">
        <f>C81/2</f>
        <v>8.1828125E-4</v>
      </c>
      <c r="D82">
        <f t="shared" si="7"/>
        <v>0.81828124999999996</v>
      </c>
      <c r="E82">
        <v>0.35499999999999998</v>
      </c>
    </row>
    <row r="83" spans="2:22" x14ac:dyDescent="0.25">
      <c r="B83">
        <f>B82/2</f>
        <v>0.625</v>
      </c>
      <c r="C83">
        <f>C82/2</f>
        <v>4.09140625E-4</v>
      </c>
      <c r="D83">
        <f t="shared" si="7"/>
        <v>0.40914062499999998</v>
      </c>
      <c r="E83">
        <v>0.17799999999999999</v>
      </c>
      <c r="S83" cm="1">
        <f t="array" ref="S83:T87">LINEST(E80:E87,D80:D87,,TRUE)</f>
        <v>0.42939768892613767</v>
      </c>
      <c r="T83">
        <v>-2.4554608830362756E-4</v>
      </c>
      <c r="U83" t="s">
        <v>128</v>
      </c>
      <c r="V83" t="s">
        <v>129</v>
      </c>
    </row>
    <row r="84" spans="2:22" x14ac:dyDescent="0.25">
      <c r="B84">
        <f t="shared" ref="B84:C88" si="8">B83/2</f>
        <v>0.3125</v>
      </c>
      <c r="C84">
        <f t="shared" si="8"/>
        <v>2.045703125E-4</v>
      </c>
      <c r="D84">
        <f t="shared" si="7"/>
        <v>0.20457031249999999</v>
      </c>
      <c r="E84">
        <v>9.1999999999999998E-2</v>
      </c>
      <c r="S84">
        <v>1.2897883571468163E-3</v>
      </c>
      <c r="T84">
        <v>1.723463558177953E-3</v>
      </c>
      <c r="U84" t="s">
        <v>130</v>
      </c>
      <c r="V84" t="s">
        <v>131</v>
      </c>
    </row>
    <row r="85" spans="2:22" x14ac:dyDescent="0.25">
      <c r="B85">
        <f t="shared" si="8"/>
        <v>0.15625</v>
      </c>
      <c r="C85">
        <f t="shared" si="8"/>
        <v>1.0228515625E-4</v>
      </c>
      <c r="D85">
        <f t="shared" si="7"/>
        <v>0.10228515625</v>
      </c>
      <c r="E85">
        <v>4.3999999999999997E-2</v>
      </c>
      <c r="S85">
        <v>0.99994586910096195</v>
      </c>
      <c r="T85">
        <v>3.8627683504178193E-3</v>
      </c>
      <c r="U85" t="s">
        <v>132</v>
      </c>
      <c r="V85" t="s">
        <v>133</v>
      </c>
    </row>
    <row r="86" spans="2:22" x14ac:dyDescent="0.25">
      <c r="B86">
        <f t="shared" si="8"/>
        <v>7.8125E-2</v>
      </c>
      <c r="C86">
        <f t="shared" si="8"/>
        <v>5.1142578125E-5</v>
      </c>
      <c r="D86">
        <f t="shared" si="7"/>
        <v>5.1142578124999998E-2</v>
      </c>
      <c r="E86">
        <v>1.7999999999999999E-2</v>
      </c>
      <c r="S86">
        <v>110836.42284195931</v>
      </c>
      <c r="T86">
        <v>6</v>
      </c>
      <c r="U86" t="s">
        <v>134</v>
      </c>
      <c r="V86" t="s">
        <v>135</v>
      </c>
    </row>
    <row r="87" spans="2:22" x14ac:dyDescent="0.25">
      <c r="B87">
        <f t="shared" si="8"/>
        <v>3.90625E-2</v>
      </c>
      <c r="C87">
        <f t="shared" si="8"/>
        <v>2.55712890625E-5</v>
      </c>
      <c r="D87">
        <f t="shared" si="7"/>
        <v>2.5571289062499999E-2</v>
      </c>
      <c r="E87">
        <v>5.0000000000000001E-3</v>
      </c>
      <c r="S87">
        <v>1.6537879741240258</v>
      </c>
      <c r="T87">
        <v>8.9525875973937613E-5</v>
      </c>
      <c r="U87" t="s">
        <v>136</v>
      </c>
      <c r="V87" t="s">
        <v>137</v>
      </c>
    </row>
    <row r="88" spans="2:22" x14ac:dyDescent="0.25">
      <c r="B88">
        <f t="shared" si="8"/>
        <v>1.953125E-2</v>
      </c>
      <c r="C88">
        <f t="shared" si="8"/>
        <v>1.278564453125E-5</v>
      </c>
      <c r="D88" s="64">
        <f t="shared" si="7"/>
        <v>1.2785644531249999E-2</v>
      </c>
      <c r="E88" s="64">
        <v>-2E-3</v>
      </c>
    </row>
  </sheetData>
  <mergeCells count="11">
    <mergeCell ref="L8:O8"/>
    <mergeCell ref="L9:O9"/>
    <mergeCell ref="L10:O10"/>
    <mergeCell ref="M7:O7"/>
    <mergeCell ref="B53:C53"/>
    <mergeCell ref="B74:C74"/>
    <mergeCell ref="B1:D1"/>
    <mergeCell ref="C27:D27"/>
    <mergeCell ref="E6:G6"/>
    <mergeCell ref="E7:G7"/>
    <mergeCell ref="E8:G8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B5C96-8DEA-4E96-BA1B-7193DB26FCDD}">
  <dimension ref="A1:Y57"/>
  <sheetViews>
    <sheetView topLeftCell="A13" zoomScale="80" zoomScaleNormal="80" workbookViewId="0">
      <selection activeCell="L56" sqref="L56"/>
    </sheetView>
  </sheetViews>
  <sheetFormatPr defaultRowHeight="15" x14ac:dyDescent="0.25"/>
  <cols>
    <col min="1" max="1" width="18" customWidth="1"/>
    <col min="16" max="16" width="11.85546875" customWidth="1"/>
    <col min="24" max="24" width="17" customWidth="1"/>
    <col min="25" max="25" width="20" customWidth="1"/>
  </cols>
  <sheetData>
    <row r="1" spans="1:25" x14ac:dyDescent="0.25">
      <c r="A1" s="2" t="s">
        <v>186</v>
      </c>
      <c r="B1" s="2" t="s">
        <v>185</v>
      </c>
      <c r="C1" s="2" t="s">
        <v>184</v>
      </c>
      <c r="D1" s="2"/>
      <c r="E1" s="2"/>
      <c r="F1" s="2"/>
      <c r="G1" s="2"/>
      <c r="H1" s="2"/>
      <c r="I1" s="2"/>
      <c r="J1" s="2"/>
    </row>
    <row r="2" spans="1:25" x14ac:dyDescent="0.25">
      <c r="A2" s="2" t="s">
        <v>90</v>
      </c>
      <c r="B2" s="2" t="s">
        <v>183</v>
      </c>
      <c r="C2" s="2"/>
      <c r="D2" s="2"/>
      <c r="E2" s="2"/>
      <c r="F2" s="2"/>
      <c r="G2" s="2"/>
      <c r="H2" s="2"/>
      <c r="I2" s="2"/>
      <c r="J2" s="2"/>
    </row>
    <row r="3" spans="1:25" x14ac:dyDescent="0.25">
      <c r="A3" s="2" t="s">
        <v>91</v>
      </c>
      <c r="B3" s="74" t="s">
        <v>182</v>
      </c>
      <c r="C3" s="74"/>
      <c r="D3" s="74"/>
      <c r="E3" s="74"/>
      <c r="F3" s="74"/>
      <c r="G3" s="74"/>
      <c r="H3" s="74"/>
      <c r="I3" s="74"/>
      <c r="J3" s="74"/>
      <c r="K3" s="74"/>
      <c r="S3" s="2"/>
      <c r="T3" s="2"/>
      <c r="U3" s="2"/>
      <c r="V3" s="2"/>
      <c r="W3" s="2"/>
      <c r="X3" s="66" t="s">
        <v>92</v>
      </c>
      <c r="Y3" s="68"/>
    </row>
    <row r="4" spans="1:25" x14ac:dyDescent="0.25">
      <c r="B4" s="74"/>
      <c r="C4" s="74"/>
      <c r="D4" s="74"/>
      <c r="E4" s="74"/>
      <c r="F4" s="74"/>
      <c r="G4" s="74"/>
      <c r="H4" s="74"/>
      <c r="I4" s="74"/>
      <c r="J4" s="74"/>
      <c r="K4" s="74"/>
      <c r="Q4" s="2" t="s">
        <v>84</v>
      </c>
      <c r="R4" s="2" t="s">
        <v>181</v>
      </c>
      <c r="S4" s="2" t="s">
        <v>180</v>
      </c>
      <c r="T4" s="2" t="s">
        <v>179</v>
      </c>
      <c r="U4" s="2" t="s">
        <v>178</v>
      </c>
      <c r="V4" s="2" t="s">
        <v>97</v>
      </c>
      <c r="W4" s="2" t="s">
        <v>177</v>
      </c>
      <c r="X4" s="2" t="s">
        <v>176</v>
      </c>
      <c r="Y4" s="2" t="s">
        <v>95</v>
      </c>
    </row>
    <row r="5" spans="1:25" x14ac:dyDescent="0.25">
      <c r="A5" s="2" t="s">
        <v>175</v>
      </c>
      <c r="B5" t="s">
        <v>174</v>
      </c>
      <c r="Q5">
        <v>1</v>
      </c>
      <c r="R5">
        <v>1880.5486432508806</v>
      </c>
      <c r="S5">
        <v>76.852573830152153</v>
      </c>
      <c r="T5">
        <f t="shared" ref="T5:T29" si="0">R5/S5</f>
        <v>24.469559697596889</v>
      </c>
      <c r="U5">
        <v>0</v>
      </c>
      <c r="V5">
        <v>0</v>
      </c>
      <c r="W5">
        <f t="shared" ref="W5:W29" si="1">U5-V5</f>
        <v>0</v>
      </c>
      <c r="X5">
        <f t="shared" ref="X5:X29" si="2">U5/Q5</f>
        <v>0</v>
      </c>
      <c r="Y5">
        <f t="shared" ref="Y5:Y29" si="3">V5/Q5</f>
        <v>0</v>
      </c>
    </row>
    <row r="6" spans="1:25" x14ac:dyDescent="0.25">
      <c r="A6" s="2" t="s">
        <v>173</v>
      </c>
      <c r="B6" t="s">
        <v>172</v>
      </c>
      <c r="Q6">
        <v>2</v>
      </c>
      <c r="R6">
        <v>1977.7930205871521</v>
      </c>
      <c r="S6">
        <v>77.063900797410753</v>
      </c>
      <c r="T6">
        <f t="shared" si="0"/>
        <v>25.6643253212223</v>
      </c>
      <c r="U6">
        <v>0</v>
      </c>
      <c r="V6">
        <v>0</v>
      </c>
      <c r="W6">
        <f t="shared" si="1"/>
        <v>0</v>
      </c>
      <c r="X6">
        <f t="shared" si="2"/>
        <v>0</v>
      </c>
      <c r="Y6">
        <f t="shared" si="3"/>
        <v>0</v>
      </c>
    </row>
    <row r="7" spans="1:25" x14ac:dyDescent="0.25">
      <c r="A7" s="66" t="s">
        <v>171</v>
      </c>
      <c r="B7" s="66"/>
      <c r="C7" s="66"/>
      <c r="D7" s="66"/>
      <c r="F7" s="66" t="s">
        <v>170</v>
      </c>
      <c r="G7" s="66"/>
      <c r="H7" s="66"/>
      <c r="I7" s="66"/>
      <c r="Q7">
        <v>3</v>
      </c>
      <c r="R7">
        <v>1992.2956492502447</v>
      </c>
      <c r="S7">
        <v>74.10532325579041</v>
      </c>
      <c r="T7">
        <f t="shared" si="0"/>
        <v>26.884649600318308</v>
      </c>
      <c r="U7">
        <v>5.9999999999993392</v>
      </c>
      <c r="V7">
        <v>0</v>
      </c>
      <c r="W7">
        <f t="shared" si="1"/>
        <v>5.9999999999993392</v>
      </c>
      <c r="X7">
        <f t="shared" si="2"/>
        <v>1.9999999999997797</v>
      </c>
      <c r="Y7">
        <f t="shared" si="3"/>
        <v>0</v>
      </c>
    </row>
    <row r="8" spans="1:25" x14ac:dyDescent="0.25">
      <c r="A8" s="2" t="s">
        <v>169</v>
      </c>
      <c r="B8" t="s">
        <v>167</v>
      </c>
      <c r="C8" t="s">
        <v>166</v>
      </c>
      <c r="F8" s="2" t="s">
        <v>168</v>
      </c>
      <c r="G8" t="s">
        <v>167</v>
      </c>
      <c r="H8" t="s">
        <v>166</v>
      </c>
      <c r="Q8">
        <v>4</v>
      </c>
      <c r="R8">
        <v>1954.1870051927342</v>
      </c>
      <c r="S8">
        <v>70.935418746911452</v>
      </c>
      <c r="T8">
        <f t="shared" si="0"/>
        <v>27.548818907590082</v>
      </c>
      <c r="U8">
        <v>5.9999999999993392</v>
      </c>
      <c r="V8">
        <v>0</v>
      </c>
      <c r="W8">
        <f t="shared" si="1"/>
        <v>5.9999999999993392</v>
      </c>
      <c r="X8">
        <f t="shared" si="2"/>
        <v>1.4999999999998348</v>
      </c>
      <c r="Y8">
        <f t="shared" si="3"/>
        <v>0</v>
      </c>
    </row>
    <row r="9" spans="1:25" x14ac:dyDescent="0.25">
      <c r="A9">
        <v>1</v>
      </c>
      <c r="B9">
        <v>1.24</v>
      </c>
      <c r="C9" s="8">
        <f>(0.005*50)/B9</f>
        <v>0.20161290322580647</v>
      </c>
      <c r="F9" s="50">
        <v>1.35</v>
      </c>
      <c r="G9" s="51">
        <f>(0.005*50)/F9</f>
        <v>0.18518518518518517</v>
      </c>
      <c r="Q9">
        <v>5</v>
      </c>
      <c r="R9">
        <v>1918.6798152566785</v>
      </c>
      <c r="S9">
        <v>61.21437825301598</v>
      </c>
      <c r="T9">
        <f t="shared" si="0"/>
        <v>31.343613543312379</v>
      </c>
      <c r="U9">
        <v>-7.9999999999991189</v>
      </c>
      <c r="V9">
        <v>0</v>
      </c>
      <c r="W9">
        <f t="shared" si="1"/>
        <v>-7.9999999999991189</v>
      </c>
      <c r="X9">
        <f t="shared" si="2"/>
        <v>-1.5999999999998238</v>
      </c>
      <c r="Y9">
        <f t="shared" si="3"/>
        <v>0</v>
      </c>
    </row>
    <row r="10" spans="1:25" x14ac:dyDescent="0.25">
      <c r="A10" s="50">
        <v>2</v>
      </c>
      <c r="B10" s="50">
        <v>1.214</v>
      </c>
      <c r="C10" s="51">
        <f>(0.005*50)/B10</f>
        <v>0.20593080724876442</v>
      </c>
      <c r="F10">
        <v>1.1499999999999999</v>
      </c>
      <c r="G10" s="8">
        <f>(0.005*50)/F10</f>
        <v>0.21739130434782611</v>
      </c>
      <c r="Q10">
        <v>6</v>
      </c>
      <c r="R10">
        <v>1857.217940340769</v>
      </c>
      <c r="S10">
        <v>52.972626529930679</v>
      </c>
      <c r="T10">
        <f t="shared" si="0"/>
        <v>35.059955716777623</v>
      </c>
      <c r="U10">
        <v>67.999999999996959</v>
      </c>
      <c r="V10">
        <v>0</v>
      </c>
      <c r="W10">
        <f t="shared" si="1"/>
        <v>67.999999999996959</v>
      </c>
      <c r="X10">
        <f t="shared" si="2"/>
        <v>11.333333333332826</v>
      </c>
      <c r="Y10">
        <f t="shared" si="3"/>
        <v>0</v>
      </c>
    </row>
    <row r="11" spans="1:25" x14ac:dyDescent="0.25">
      <c r="C11" s="8"/>
      <c r="G11" s="8"/>
      <c r="Q11">
        <v>7</v>
      </c>
      <c r="R11">
        <v>1713.7376996493126</v>
      </c>
      <c r="S11">
        <v>36.489123083760099</v>
      </c>
      <c r="T11">
        <f t="shared" si="0"/>
        <v>46.965713473449604</v>
      </c>
      <c r="U11">
        <v>148.00000000000148</v>
      </c>
      <c r="V11">
        <v>3.596400000000036</v>
      </c>
      <c r="W11">
        <f t="shared" si="1"/>
        <v>144.40360000000143</v>
      </c>
      <c r="X11">
        <f t="shared" si="2"/>
        <v>21.142857142857356</v>
      </c>
      <c r="Y11">
        <f t="shared" si="3"/>
        <v>0.51377142857143376</v>
      </c>
    </row>
    <row r="12" spans="1:25" x14ac:dyDescent="0.25">
      <c r="Q12">
        <v>8</v>
      </c>
      <c r="R12">
        <v>1555.9346609517352</v>
      </c>
      <c r="S12">
        <v>19.371638735813729</v>
      </c>
      <c r="T12">
        <f t="shared" si="0"/>
        <v>80.320239406239182</v>
      </c>
      <c r="U12">
        <v>240.00000000000023</v>
      </c>
      <c r="V12">
        <v>2.5920000000000027</v>
      </c>
      <c r="W12">
        <f t="shared" si="1"/>
        <v>237.40800000000021</v>
      </c>
      <c r="X12">
        <f t="shared" si="2"/>
        <v>30.000000000000028</v>
      </c>
      <c r="Y12">
        <f t="shared" si="3"/>
        <v>0.32400000000000034</v>
      </c>
    </row>
    <row r="13" spans="1:25" x14ac:dyDescent="0.25">
      <c r="Q13">
        <v>9</v>
      </c>
      <c r="R13">
        <v>1405.9357226656357</v>
      </c>
      <c r="S13">
        <v>12.186521849021426</v>
      </c>
      <c r="T13">
        <f t="shared" si="0"/>
        <v>115.36808780091195</v>
      </c>
      <c r="U13">
        <v>304.00000000000205</v>
      </c>
      <c r="V13">
        <v>4.3472000000000293</v>
      </c>
      <c r="W13">
        <f t="shared" si="1"/>
        <v>299.652800000002</v>
      </c>
      <c r="X13">
        <f t="shared" si="2"/>
        <v>33.777777777778006</v>
      </c>
      <c r="Y13">
        <f t="shared" si="3"/>
        <v>0.48302222222222546</v>
      </c>
    </row>
    <row r="14" spans="1:25" x14ac:dyDescent="0.25">
      <c r="Q14">
        <v>10</v>
      </c>
      <c r="R14">
        <v>1238.1907860452329</v>
      </c>
      <c r="S14">
        <v>3.9447701259361359</v>
      </c>
      <c r="T14">
        <f t="shared" si="0"/>
        <v>313.88160691654929</v>
      </c>
      <c r="U14">
        <v>369.9999999999992</v>
      </c>
      <c r="W14">
        <f t="shared" si="1"/>
        <v>369.9999999999992</v>
      </c>
      <c r="X14">
        <f t="shared" si="2"/>
        <v>36.999999999999922</v>
      </c>
      <c r="Y14">
        <f t="shared" si="3"/>
        <v>0</v>
      </c>
    </row>
    <row r="15" spans="1:25" x14ac:dyDescent="0.25">
      <c r="Q15">
        <v>11</v>
      </c>
      <c r="R15">
        <v>1155.5439952936147</v>
      </c>
      <c r="S15">
        <v>0.2613410168808884</v>
      </c>
      <c r="T15">
        <f t="shared" si="0"/>
        <v>4421.5944710289314</v>
      </c>
      <c r="U15">
        <v>424.00000000000216</v>
      </c>
      <c r="V15">
        <v>5.6816000000000288</v>
      </c>
      <c r="W15">
        <f t="shared" si="1"/>
        <v>418.31840000000216</v>
      </c>
      <c r="X15">
        <f t="shared" si="2"/>
        <v>38.545454545454739</v>
      </c>
      <c r="Y15">
        <f t="shared" si="3"/>
        <v>0.51650909090909358</v>
      </c>
    </row>
    <row r="16" spans="1:25" x14ac:dyDescent="0.25">
      <c r="Q16">
        <v>12</v>
      </c>
      <c r="R16">
        <v>977.84052674205827</v>
      </c>
      <c r="S16">
        <v>1.1975195515743732E-2</v>
      </c>
      <c r="T16">
        <f t="shared" si="0"/>
        <v>81655.49576677024</v>
      </c>
      <c r="U16">
        <v>496.00000000000313</v>
      </c>
      <c r="V16">
        <v>22.072000000000141</v>
      </c>
      <c r="W16">
        <f t="shared" si="1"/>
        <v>473.92800000000301</v>
      </c>
      <c r="X16">
        <f t="shared" si="2"/>
        <v>41.333333333333591</v>
      </c>
      <c r="Y16">
        <f t="shared" si="3"/>
        <v>1.839333333333345</v>
      </c>
    </row>
    <row r="17" spans="1:25" x14ac:dyDescent="0.25">
      <c r="Q17">
        <v>13</v>
      </c>
      <c r="R17">
        <v>872.1748879923806</v>
      </c>
      <c r="S17">
        <v>0.74316650223049008</v>
      </c>
      <c r="T17">
        <f t="shared" si="0"/>
        <v>1173.5928427542058</v>
      </c>
      <c r="U17">
        <v>529.99999999999932</v>
      </c>
      <c r="V17">
        <v>69.270999999999916</v>
      </c>
      <c r="W17">
        <f t="shared" si="1"/>
        <v>460.72899999999942</v>
      </c>
      <c r="X17">
        <f t="shared" si="2"/>
        <v>40.769230769230717</v>
      </c>
      <c r="Y17">
        <f t="shared" si="3"/>
        <v>5.3285384615384555</v>
      </c>
    </row>
    <row r="18" spans="1:25" x14ac:dyDescent="0.25">
      <c r="Q18">
        <v>14</v>
      </c>
      <c r="R18">
        <v>854.78108531473833</v>
      </c>
      <c r="S18">
        <v>0.69033476041584074</v>
      </c>
      <c r="T18">
        <f t="shared" si="0"/>
        <v>1238.2124359489578</v>
      </c>
      <c r="U18">
        <v>546.00000000000205</v>
      </c>
      <c r="V18">
        <v>75.784800000000288</v>
      </c>
      <c r="W18">
        <f t="shared" si="1"/>
        <v>470.21520000000174</v>
      </c>
      <c r="X18">
        <f t="shared" si="2"/>
        <v>39.000000000000149</v>
      </c>
      <c r="Y18">
        <f t="shared" si="3"/>
        <v>5.4132000000000202</v>
      </c>
    </row>
    <row r="19" spans="1:25" x14ac:dyDescent="0.25">
      <c r="Q19">
        <v>15</v>
      </c>
      <c r="R19">
        <v>739.19882709583726</v>
      </c>
      <c r="S19">
        <v>0.73260015386756017</v>
      </c>
      <c r="T19">
        <f t="shared" si="0"/>
        <v>1009.00719607202</v>
      </c>
      <c r="U19">
        <v>607.99999999999966</v>
      </c>
      <c r="V19">
        <v>113.02719999999994</v>
      </c>
      <c r="W19">
        <f t="shared" si="1"/>
        <v>494.97279999999972</v>
      </c>
      <c r="X19">
        <f t="shared" si="2"/>
        <v>40.53333333333331</v>
      </c>
      <c r="Y19">
        <f t="shared" si="3"/>
        <v>7.5351466666666624</v>
      </c>
    </row>
    <row r="20" spans="1:25" x14ac:dyDescent="0.25">
      <c r="Q20">
        <v>16</v>
      </c>
      <c r="R20">
        <v>629.72661996775662</v>
      </c>
      <c r="S20">
        <v>0.71146745714170045</v>
      </c>
      <c r="T20">
        <f t="shared" si="0"/>
        <v>885.10952067669371</v>
      </c>
      <c r="U20">
        <v>626.00000000000216</v>
      </c>
      <c r="V20">
        <v>132.58680000000044</v>
      </c>
      <c r="W20">
        <f t="shared" si="1"/>
        <v>493.41320000000172</v>
      </c>
      <c r="X20">
        <f t="shared" si="2"/>
        <v>39.125000000000135</v>
      </c>
      <c r="Y20">
        <f t="shared" si="3"/>
        <v>8.2866750000000273</v>
      </c>
    </row>
    <row r="21" spans="1:25" x14ac:dyDescent="0.25">
      <c r="Q21">
        <v>17</v>
      </c>
      <c r="R21">
        <v>520.699863724132</v>
      </c>
      <c r="S21">
        <v>0.51915991693637698</v>
      </c>
      <c r="T21">
        <f t="shared" si="0"/>
        <v>1002.9662282035224</v>
      </c>
      <c r="U21">
        <v>662.00000000000261</v>
      </c>
      <c r="V21">
        <v>165.50000000000065</v>
      </c>
      <c r="W21">
        <f t="shared" si="1"/>
        <v>496.50000000000193</v>
      </c>
      <c r="X21">
        <f t="shared" si="2"/>
        <v>38.941176470588388</v>
      </c>
      <c r="Y21">
        <f t="shared" si="3"/>
        <v>9.7352941176470971</v>
      </c>
    </row>
    <row r="22" spans="1:25" x14ac:dyDescent="0.25">
      <c r="Q22">
        <v>18</v>
      </c>
      <c r="R22">
        <v>334.08829431855719</v>
      </c>
      <c r="S22">
        <v>0.43462913003293813</v>
      </c>
      <c r="T22">
        <f t="shared" si="0"/>
        <v>768.67441971328174</v>
      </c>
      <c r="U22">
        <v>758.00000000000091</v>
      </c>
      <c r="V22">
        <v>222.85200000000026</v>
      </c>
      <c r="W22">
        <f t="shared" si="1"/>
        <v>535.14800000000059</v>
      </c>
      <c r="X22">
        <f t="shared" si="2"/>
        <v>42.111111111111164</v>
      </c>
      <c r="Y22">
        <f t="shared" si="3"/>
        <v>12.380666666666681</v>
      </c>
    </row>
    <row r="23" spans="1:25" x14ac:dyDescent="0.25">
      <c r="Q23">
        <v>19</v>
      </c>
      <c r="R23">
        <v>162.22978053610981</v>
      </c>
      <c r="S23">
        <v>0.16201734226934775</v>
      </c>
      <c r="T23">
        <f t="shared" si="0"/>
        <v>1001.311206959616</v>
      </c>
      <c r="U23">
        <v>798.00000000000091</v>
      </c>
      <c r="V23">
        <v>265.4148000000003</v>
      </c>
      <c r="W23">
        <f t="shared" si="1"/>
        <v>532.58520000000067</v>
      </c>
      <c r="X23">
        <f t="shared" si="2"/>
        <v>42.00000000000005</v>
      </c>
      <c r="Y23">
        <f t="shared" si="3"/>
        <v>13.969200000000015</v>
      </c>
    </row>
    <row r="24" spans="1:25" x14ac:dyDescent="0.25">
      <c r="Q24">
        <v>20</v>
      </c>
      <c r="R24">
        <v>94.172062900315481</v>
      </c>
      <c r="S24">
        <v>3.3107892241603466E-2</v>
      </c>
      <c r="T24">
        <f t="shared" si="0"/>
        <v>2844.3992209802655</v>
      </c>
      <c r="U24">
        <v>828.00000000000205</v>
      </c>
      <c r="V24">
        <v>292.03560000000073</v>
      </c>
      <c r="W24">
        <f t="shared" si="1"/>
        <v>535.96440000000132</v>
      </c>
      <c r="X24">
        <f t="shared" si="2"/>
        <v>41.400000000000105</v>
      </c>
      <c r="Y24">
        <f t="shared" si="3"/>
        <v>14.601780000000037</v>
      </c>
    </row>
    <row r="25" spans="1:25" x14ac:dyDescent="0.25">
      <c r="Q25">
        <v>21</v>
      </c>
      <c r="R25">
        <v>2.6383894785312307</v>
      </c>
      <c r="S25">
        <v>1.8315004533501652E-2</v>
      </c>
      <c r="T25">
        <f t="shared" si="0"/>
        <v>144.05617392587104</v>
      </c>
      <c r="U25">
        <v>851.99999999999943</v>
      </c>
      <c r="V25">
        <v>294.1103999999998</v>
      </c>
      <c r="W25">
        <f t="shared" si="1"/>
        <v>557.88959999999963</v>
      </c>
      <c r="X25">
        <f t="shared" si="2"/>
        <v>40.571428571428541</v>
      </c>
      <c r="Y25">
        <f t="shared" si="3"/>
        <v>14.005257142857133</v>
      </c>
    </row>
    <row r="26" spans="1:25" x14ac:dyDescent="0.25">
      <c r="Q26">
        <v>22</v>
      </c>
      <c r="R26">
        <v>0</v>
      </c>
      <c r="S26">
        <v>0</v>
      </c>
      <c r="T26" t="e">
        <f t="shared" si="0"/>
        <v>#DIV/0!</v>
      </c>
      <c r="U26">
        <v>859.99999999999852</v>
      </c>
      <c r="V26">
        <v>303.23599999999948</v>
      </c>
      <c r="W26">
        <f t="shared" si="1"/>
        <v>556.76399999999899</v>
      </c>
      <c r="X26">
        <f t="shared" si="2"/>
        <v>39.090909090909022</v>
      </c>
      <c r="Y26">
        <f t="shared" si="3"/>
        <v>13.783454545454521</v>
      </c>
    </row>
    <row r="27" spans="1:25" x14ac:dyDescent="0.25">
      <c r="Q27">
        <v>23</v>
      </c>
      <c r="R27">
        <v>0</v>
      </c>
      <c r="S27">
        <v>0</v>
      </c>
      <c r="T27" t="e">
        <f t="shared" si="0"/>
        <v>#DIV/0!</v>
      </c>
      <c r="U27">
        <v>853.9999999999992</v>
      </c>
      <c r="V27">
        <v>331.18119999999971</v>
      </c>
      <c r="W27">
        <f t="shared" si="1"/>
        <v>522.81879999999956</v>
      </c>
      <c r="X27">
        <f t="shared" si="2"/>
        <v>37.13043478260866</v>
      </c>
      <c r="Y27">
        <f t="shared" si="3"/>
        <v>14.399182608695639</v>
      </c>
    </row>
    <row r="28" spans="1:25" x14ac:dyDescent="0.25">
      <c r="Q28">
        <v>24</v>
      </c>
      <c r="R28">
        <v>0</v>
      </c>
      <c r="S28">
        <v>0</v>
      </c>
      <c r="T28" t="e">
        <f t="shared" si="0"/>
        <v>#DIV/0!</v>
      </c>
      <c r="U28">
        <v>854.00000000000364</v>
      </c>
      <c r="V28">
        <v>314.35740000000135</v>
      </c>
      <c r="W28">
        <f t="shared" si="1"/>
        <v>539.64260000000229</v>
      </c>
      <c r="X28">
        <f t="shared" si="2"/>
        <v>35.583333333333485</v>
      </c>
      <c r="Y28">
        <f t="shared" si="3"/>
        <v>13.098225000000056</v>
      </c>
    </row>
    <row r="29" spans="1:25" x14ac:dyDescent="0.25">
      <c r="P29" t="s">
        <v>165</v>
      </c>
      <c r="Q29">
        <v>12</v>
      </c>
      <c r="R29">
        <v>1020.2968028662071</v>
      </c>
      <c r="S29">
        <v>-7.044231537530002E-3</v>
      </c>
      <c r="T29">
        <f t="shared" si="0"/>
        <v>-144841.46317881614</v>
      </c>
      <c r="U29">
        <v>468.00000000000176</v>
      </c>
      <c r="V29">
        <v>27.658800000000102</v>
      </c>
      <c r="W29">
        <f t="shared" si="1"/>
        <v>440.34120000000166</v>
      </c>
      <c r="X29">
        <f t="shared" si="2"/>
        <v>39.000000000000149</v>
      </c>
      <c r="Y29">
        <f t="shared" si="3"/>
        <v>2.3049000000000084</v>
      </c>
    </row>
    <row r="30" spans="1:25" x14ac:dyDescent="0.25">
      <c r="A30" s="2" t="s">
        <v>164</v>
      </c>
      <c r="B30" s="2" t="s">
        <v>86</v>
      </c>
      <c r="C30" s="2" t="s">
        <v>163</v>
      </c>
      <c r="D30" s="2" t="s">
        <v>96</v>
      </c>
      <c r="E30" s="2" t="s">
        <v>93</v>
      </c>
      <c r="F30" s="2" t="s">
        <v>105</v>
      </c>
      <c r="G30" s="2" t="s">
        <v>94</v>
      </c>
      <c r="H30" s="2" t="s">
        <v>102</v>
      </c>
      <c r="I30" s="2" t="s">
        <v>103</v>
      </c>
      <c r="J30" s="2" t="s">
        <v>104</v>
      </c>
    </row>
    <row r="31" spans="1:25" x14ac:dyDescent="0.25">
      <c r="A31" t="s">
        <v>162</v>
      </c>
      <c r="H31">
        <v>1982.4084994808165</v>
      </c>
    </row>
    <row r="32" spans="1:25" x14ac:dyDescent="0.25">
      <c r="A32" t="s">
        <v>161</v>
      </c>
      <c r="H32">
        <v>1992.313200093678</v>
      </c>
    </row>
    <row r="33" spans="1:10" x14ac:dyDescent="0.25">
      <c r="A33">
        <v>1</v>
      </c>
      <c r="C33">
        <v>1.0427</v>
      </c>
      <c r="D33">
        <v>1.0427</v>
      </c>
      <c r="E33">
        <f t="shared" ref="E33:E57" si="4">(D33-C33)*20</f>
        <v>0</v>
      </c>
      <c r="G33">
        <f t="shared" ref="G33:G41" si="5">(1000*E33)*(F33/100)</f>
        <v>0</v>
      </c>
      <c r="H33">
        <v>1880.5486432508806</v>
      </c>
      <c r="I33">
        <v>76.852573830152153</v>
      </c>
      <c r="J33">
        <f t="shared" ref="J33:J57" si="6">E33*1000</f>
        <v>0</v>
      </c>
    </row>
    <row r="34" spans="1:10" x14ac:dyDescent="0.25">
      <c r="A34">
        <v>2</v>
      </c>
      <c r="C34">
        <v>1.0430999999999999</v>
      </c>
      <c r="D34">
        <v>1.0421</v>
      </c>
      <c r="E34">
        <f t="shared" si="4"/>
        <v>-1.9999999999997797E-2</v>
      </c>
      <c r="G34">
        <f t="shared" si="5"/>
        <v>0</v>
      </c>
      <c r="H34">
        <v>1977.7930205871521</v>
      </c>
      <c r="I34">
        <v>77.063900797410753</v>
      </c>
      <c r="J34">
        <f t="shared" si="6"/>
        <v>-19.999999999997797</v>
      </c>
    </row>
    <row r="35" spans="1:10" x14ac:dyDescent="0.25">
      <c r="A35">
        <v>3</v>
      </c>
      <c r="C35">
        <v>1.0550999999999999</v>
      </c>
      <c r="D35">
        <v>1.0553999999999999</v>
      </c>
      <c r="E35">
        <f t="shared" si="4"/>
        <v>5.9999999999993392E-3</v>
      </c>
      <c r="G35">
        <f t="shared" si="5"/>
        <v>0</v>
      </c>
      <c r="H35">
        <v>1992.2956492502447</v>
      </c>
      <c r="I35">
        <v>74.10532325579041</v>
      </c>
      <c r="J35">
        <f t="shared" si="6"/>
        <v>5.9999999999993392</v>
      </c>
    </row>
    <row r="36" spans="1:10" x14ac:dyDescent="0.25">
      <c r="A36">
        <v>4</v>
      </c>
      <c r="C36">
        <v>1.0609999999999999</v>
      </c>
      <c r="D36">
        <v>1.0612999999999999</v>
      </c>
      <c r="E36">
        <f t="shared" si="4"/>
        <v>5.9999999999993392E-3</v>
      </c>
      <c r="G36">
        <f t="shared" si="5"/>
        <v>0</v>
      </c>
      <c r="H36">
        <v>1954.1870051927342</v>
      </c>
      <c r="I36">
        <v>70.935418746911452</v>
      </c>
      <c r="J36">
        <f t="shared" si="6"/>
        <v>5.9999999999993392</v>
      </c>
    </row>
    <row r="37" spans="1:10" x14ac:dyDescent="0.25">
      <c r="A37">
        <v>5</v>
      </c>
      <c r="C37">
        <v>1.0584</v>
      </c>
      <c r="D37">
        <v>1.0580000000000001</v>
      </c>
      <c r="E37">
        <f t="shared" si="4"/>
        <v>-7.9999999999991189E-3</v>
      </c>
      <c r="G37">
        <f t="shared" si="5"/>
        <v>0</v>
      </c>
      <c r="H37">
        <v>1918.6798152566785</v>
      </c>
      <c r="I37">
        <v>61.21437825301598</v>
      </c>
      <c r="J37">
        <f t="shared" si="6"/>
        <v>-7.9999999999991189</v>
      </c>
    </row>
    <row r="38" spans="1:10" x14ac:dyDescent="0.25">
      <c r="A38">
        <v>6</v>
      </c>
      <c r="C38">
        <v>1.0535000000000001</v>
      </c>
      <c r="D38">
        <v>1.0569</v>
      </c>
      <c r="E38">
        <f t="shared" si="4"/>
        <v>6.7999999999996952E-2</v>
      </c>
      <c r="G38">
        <f t="shared" si="5"/>
        <v>0</v>
      </c>
      <c r="H38">
        <v>1857.217940340769</v>
      </c>
      <c r="I38">
        <v>52.972626529930679</v>
      </c>
      <c r="J38">
        <f t="shared" si="6"/>
        <v>67.999999999996959</v>
      </c>
    </row>
    <row r="39" spans="1:10" x14ac:dyDescent="0.25">
      <c r="A39">
        <v>7</v>
      </c>
      <c r="C39">
        <v>1.0634999999999999</v>
      </c>
      <c r="D39">
        <v>1.0709</v>
      </c>
      <c r="E39">
        <f t="shared" si="4"/>
        <v>0.14800000000000146</v>
      </c>
      <c r="F39" s="49">
        <v>2.4300000000000002</v>
      </c>
      <c r="G39">
        <f t="shared" si="5"/>
        <v>3.596400000000036</v>
      </c>
      <c r="H39">
        <v>1713.7376996493126</v>
      </c>
      <c r="I39">
        <v>36.489123083760099</v>
      </c>
      <c r="J39">
        <f t="shared" si="6"/>
        <v>148.00000000000148</v>
      </c>
    </row>
    <row r="40" spans="1:10" x14ac:dyDescent="0.25">
      <c r="A40">
        <v>8</v>
      </c>
      <c r="C40">
        <v>1.0689</v>
      </c>
      <c r="D40">
        <v>1.0809</v>
      </c>
      <c r="E40">
        <f t="shared" si="4"/>
        <v>0.24000000000000021</v>
      </c>
      <c r="F40" s="49">
        <v>1.08</v>
      </c>
      <c r="G40">
        <f t="shared" si="5"/>
        <v>2.5920000000000027</v>
      </c>
      <c r="H40">
        <v>1555.9346609517352</v>
      </c>
      <c r="I40">
        <v>19.371638735813729</v>
      </c>
      <c r="J40">
        <f t="shared" si="6"/>
        <v>240.00000000000023</v>
      </c>
    </row>
    <row r="41" spans="1:10" x14ac:dyDescent="0.25">
      <c r="A41">
        <v>9</v>
      </c>
      <c r="C41">
        <v>1.0568</v>
      </c>
      <c r="D41">
        <v>1.0720000000000001</v>
      </c>
      <c r="E41">
        <f t="shared" si="4"/>
        <v>0.30400000000000205</v>
      </c>
      <c r="F41" s="49">
        <v>1.43</v>
      </c>
      <c r="G41">
        <f t="shared" si="5"/>
        <v>4.3472000000000293</v>
      </c>
      <c r="H41">
        <v>1405.9357226656357</v>
      </c>
      <c r="I41">
        <v>12.186521849021426</v>
      </c>
      <c r="J41">
        <f t="shared" si="6"/>
        <v>304.00000000000205</v>
      </c>
    </row>
    <row r="42" spans="1:10" x14ac:dyDescent="0.25">
      <c r="A42">
        <v>10</v>
      </c>
      <c r="C42">
        <v>1.0578000000000001</v>
      </c>
      <c r="D42">
        <v>1.0763</v>
      </c>
      <c r="E42">
        <f t="shared" si="4"/>
        <v>0.36999999999999922</v>
      </c>
      <c r="F42" s="49"/>
      <c r="H42">
        <v>1238.1907860452329</v>
      </c>
      <c r="I42">
        <v>3.9447701259361359</v>
      </c>
      <c r="J42">
        <f t="shared" si="6"/>
        <v>369.9999999999992</v>
      </c>
    </row>
    <row r="43" spans="1:10" x14ac:dyDescent="0.25">
      <c r="A43">
        <v>11</v>
      </c>
      <c r="C43">
        <v>1.0529999999999999</v>
      </c>
      <c r="D43">
        <v>1.0742</v>
      </c>
      <c r="E43">
        <f t="shared" si="4"/>
        <v>0.42400000000000215</v>
      </c>
      <c r="F43">
        <v>1.34</v>
      </c>
      <c r="G43">
        <f t="shared" ref="G43:G57" si="7">(1000*E43)*(F43/100)</f>
        <v>5.6816000000000288</v>
      </c>
      <c r="H43">
        <v>1155.5439952936147</v>
      </c>
      <c r="I43">
        <v>0.2613410168808884</v>
      </c>
      <c r="J43">
        <f t="shared" si="6"/>
        <v>424.00000000000216</v>
      </c>
    </row>
    <row r="44" spans="1:10" x14ac:dyDescent="0.25">
      <c r="A44">
        <v>12</v>
      </c>
      <c r="C44">
        <v>1.0570999999999999</v>
      </c>
      <c r="D44">
        <v>1.0819000000000001</v>
      </c>
      <c r="E44">
        <f t="shared" si="4"/>
        <v>0.49600000000000311</v>
      </c>
      <c r="F44">
        <v>4.45</v>
      </c>
      <c r="G44">
        <f t="shared" si="7"/>
        <v>22.072000000000141</v>
      </c>
      <c r="H44">
        <v>977.84052674205827</v>
      </c>
      <c r="I44">
        <v>1.1975195515743732E-2</v>
      </c>
      <c r="J44">
        <f t="shared" si="6"/>
        <v>496.00000000000313</v>
      </c>
    </row>
    <row r="45" spans="1:10" x14ac:dyDescent="0.25">
      <c r="A45">
        <v>13</v>
      </c>
      <c r="C45">
        <v>1.0442</v>
      </c>
      <c r="D45">
        <v>1.0707</v>
      </c>
      <c r="E45">
        <f t="shared" si="4"/>
        <v>0.52999999999999936</v>
      </c>
      <c r="F45">
        <v>13.07</v>
      </c>
      <c r="G45">
        <f t="shared" si="7"/>
        <v>69.270999999999916</v>
      </c>
      <c r="H45">
        <v>872.1748879923806</v>
      </c>
      <c r="I45">
        <v>0.74316650223049008</v>
      </c>
      <c r="J45">
        <f t="shared" si="6"/>
        <v>529.99999999999932</v>
      </c>
    </row>
    <row r="46" spans="1:10" x14ac:dyDescent="0.25">
      <c r="A46">
        <v>14</v>
      </c>
      <c r="C46">
        <v>1.0606</v>
      </c>
      <c r="D46">
        <v>1.0879000000000001</v>
      </c>
      <c r="E46">
        <f t="shared" si="4"/>
        <v>0.54600000000000204</v>
      </c>
      <c r="F46">
        <v>13.88</v>
      </c>
      <c r="G46">
        <f t="shared" si="7"/>
        <v>75.784800000000288</v>
      </c>
      <c r="H46">
        <v>854.78108531473833</v>
      </c>
      <c r="I46">
        <v>0.69033476041584074</v>
      </c>
      <c r="J46">
        <f t="shared" si="6"/>
        <v>546.00000000000205</v>
      </c>
    </row>
    <row r="47" spans="1:10" x14ac:dyDescent="0.25">
      <c r="A47">
        <v>15</v>
      </c>
      <c r="C47">
        <v>1.0539000000000001</v>
      </c>
      <c r="D47">
        <v>1.0843</v>
      </c>
      <c r="E47">
        <f t="shared" si="4"/>
        <v>0.60799999999999965</v>
      </c>
      <c r="F47">
        <v>18.59</v>
      </c>
      <c r="G47">
        <f t="shared" si="7"/>
        <v>113.02719999999994</v>
      </c>
      <c r="H47">
        <v>739.19882709583726</v>
      </c>
      <c r="I47">
        <v>0.73260015386756017</v>
      </c>
      <c r="J47">
        <f t="shared" si="6"/>
        <v>607.99999999999966</v>
      </c>
    </row>
    <row r="48" spans="1:10" x14ac:dyDescent="0.25">
      <c r="A48">
        <v>16</v>
      </c>
      <c r="C48">
        <v>1.0552999999999999</v>
      </c>
      <c r="D48">
        <v>1.0866</v>
      </c>
      <c r="E48">
        <f t="shared" si="4"/>
        <v>0.62600000000000211</v>
      </c>
      <c r="F48">
        <v>21.18</v>
      </c>
      <c r="G48">
        <f t="shared" si="7"/>
        <v>132.58680000000044</v>
      </c>
      <c r="H48">
        <v>629.72661996775662</v>
      </c>
      <c r="I48">
        <v>0.71146745714170045</v>
      </c>
      <c r="J48">
        <f t="shared" si="6"/>
        <v>626.00000000000216</v>
      </c>
    </row>
    <row r="49" spans="1:10" x14ac:dyDescent="0.25">
      <c r="A49">
        <v>17</v>
      </c>
      <c r="C49">
        <v>1.0547</v>
      </c>
      <c r="D49">
        <v>1.0878000000000001</v>
      </c>
      <c r="E49">
        <f t="shared" si="4"/>
        <v>0.66200000000000259</v>
      </c>
      <c r="F49">
        <v>25</v>
      </c>
      <c r="G49">
        <f t="shared" si="7"/>
        <v>165.50000000000065</v>
      </c>
      <c r="H49">
        <v>520.699863724132</v>
      </c>
      <c r="I49">
        <v>0.51915991693637698</v>
      </c>
      <c r="J49">
        <f t="shared" si="6"/>
        <v>662.00000000000261</v>
      </c>
    </row>
    <row r="50" spans="1:10" x14ac:dyDescent="0.25">
      <c r="A50">
        <v>18</v>
      </c>
      <c r="C50">
        <v>1.0572999999999999</v>
      </c>
      <c r="D50">
        <v>1.0952</v>
      </c>
      <c r="E50">
        <f t="shared" si="4"/>
        <v>0.7580000000000009</v>
      </c>
      <c r="F50">
        <v>29.4</v>
      </c>
      <c r="G50">
        <f t="shared" si="7"/>
        <v>222.85200000000026</v>
      </c>
      <c r="H50">
        <v>334.08829431855719</v>
      </c>
      <c r="I50">
        <v>0.43462913003293813</v>
      </c>
      <c r="J50">
        <f t="shared" si="6"/>
        <v>758.00000000000091</v>
      </c>
    </row>
    <row r="51" spans="1:10" x14ac:dyDescent="0.25">
      <c r="A51">
        <v>19</v>
      </c>
      <c r="C51">
        <v>1.0539000000000001</v>
      </c>
      <c r="D51">
        <v>1.0938000000000001</v>
      </c>
      <c r="E51">
        <f t="shared" si="4"/>
        <v>0.79800000000000093</v>
      </c>
      <c r="F51">
        <v>33.26</v>
      </c>
      <c r="G51">
        <f t="shared" si="7"/>
        <v>265.4148000000003</v>
      </c>
      <c r="H51">
        <v>162.22978053610981</v>
      </c>
      <c r="I51">
        <v>0.16201734226934775</v>
      </c>
      <c r="J51">
        <f t="shared" si="6"/>
        <v>798.00000000000091</v>
      </c>
    </row>
    <row r="52" spans="1:10" x14ac:dyDescent="0.25">
      <c r="A52">
        <v>20</v>
      </c>
      <c r="C52">
        <v>1.0531999999999999</v>
      </c>
      <c r="D52">
        <v>1.0946</v>
      </c>
      <c r="E52">
        <f t="shared" si="4"/>
        <v>0.82800000000000207</v>
      </c>
      <c r="F52">
        <v>35.270000000000003</v>
      </c>
      <c r="G52">
        <f t="shared" si="7"/>
        <v>292.03560000000073</v>
      </c>
      <c r="H52">
        <v>94.172062900315481</v>
      </c>
      <c r="I52">
        <v>3.3107892241603466E-2</v>
      </c>
      <c r="J52">
        <f t="shared" si="6"/>
        <v>828.00000000000205</v>
      </c>
    </row>
    <row r="53" spans="1:10" x14ac:dyDescent="0.25">
      <c r="A53">
        <v>21</v>
      </c>
      <c r="C53">
        <v>1.0505</v>
      </c>
      <c r="D53">
        <v>1.0931</v>
      </c>
      <c r="E53">
        <f t="shared" si="4"/>
        <v>0.85199999999999942</v>
      </c>
      <c r="F53">
        <v>34.520000000000003</v>
      </c>
      <c r="G53">
        <f t="shared" si="7"/>
        <v>294.1103999999998</v>
      </c>
      <c r="H53">
        <v>2.6383894785312307</v>
      </c>
      <c r="I53">
        <v>1.8315004533501652E-2</v>
      </c>
      <c r="J53">
        <f t="shared" si="6"/>
        <v>851.99999999999943</v>
      </c>
    </row>
    <row r="54" spans="1:10" x14ac:dyDescent="0.25">
      <c r="A54">
        <v>22</v>
      </c>
      <c r="C54">
        <v>1.0608</v>
      </c>
      <c r="D54">
        <v>1.1037999999999999</v>
      </c>
      <c r="E54">
        <f t="shared" si="4"/>
        <v>0.85999999999999854</v>
      </c>
      <c r="F54">
        <v>35.26</v>
      </c>
      <c r="G54">
        <f t="shared" si="7"/>
        <v>303.23599999999948</v>
      </c>
      <c r="H54">
        <v>0</v>
      </c>
      <c r="I54">
        <v>-7.0442251977209582E-4</v>
      </c>
      <c r="J54">
        <f t="shared" si="6"/>
        <v>859.99999999999852</v>
      </c>
    </row>
    <row r="55" spans="1:10" x14ac:dyDescent="0.25">
      <c r="A55">
        <v>23</v>
      </c>
      <c r="C55">
        <v>1.0546</v>
      </c>
      <c r="D55">
        <v>1.0972999999999999</v>
      </c>
      <c r="E55">
        <f t="shared" si="4"/>
        <v>0.8539999999999992</v>
      </c>
      <c r="F55">
        <v>38.78</v>
      </c>
      <c r="G55">
        <f t="shared" si="7"/>
        <v>331.18119999999971</v>
      </c>
      <c r="H55">
        <v>0</v>
      </c>
      <c r="I55">
        <v>-9.1575012101159751E-3</v>
      </c>
      <c r="J55">
        <f t="shared" si="6"/>
        <v>853.9999999999992</v>
      </c>
    </row>
    <row r="56" spans="1:10" x14ac:dyDescent="0.25">
      <c r="A56">
        <v>24</v>
      </c>
      <c r="C56">
        <v>1.0452999999999999</v>
      </c>
      <c r="D56">
        <v>1.0880000000000001</v>
      </c>
      <c r="E56">
        <f t="shared" si="4"/>
        <v>0.85400000000000365</v>
      </c>
      <c r="F56">
        <v>36.81</v>
      </c>
      <c r="G56">
        <f t="shared" si="7"/>
        <v>314.35740000000135</v>
      </c>
      <c r="H56">
        <v>0</v>
      </c>
      <c r="I56">
        <v>-4.9309618649440428E-3</v>
      </c>
      <c r="J56">
        <f t="shared" si="6"/>
        <v>854.00000000000364</v>
      </c>
    </row>
    <row r="57" spans="1:10" x14ac:dyDescent="0.25">
      <c r="A57" t="s">
        <v>160</v>
      </c>
      <c r="C57">
        <v>1.0543</v>
      </c>
      <c r="D57">
        <v>1.0777000000000001</v>
      </c>
      <c r="E57">
        <f t="shared" si="4"/>
        <v>0.46800000000000175</v>
      </c>
      <c r="F57">
        <v>5.91</v>
      </c>
      <c r="G57">
        <f t="shared" si="7"/>
        <v>27.658800000000102</v>
      </c>
      <c r="H57">
        <v>1020.2968028662071</v>
      </c>
      <c r="I57">
        <v>-7.044231537530002E-3</v>
      </c>
      <c r="J57">
        <f t="shared" si="6"/>
        <v>468.00000000000176</v>
      </c>
    </row>
  </sheetData>
  <mergeCells count="4">
    <mergeCell ref="B3:K4"/>
    <mergeCell ref="X3:Y3"/>
    <mergeCell ref="A7:D7"/>
    <mergeCell ref="F7:I7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E686E-C0BE-4B0F-A2C8-A22C7D1F6FBA}">
  <dimension ref="A1:AG64"/>
  <sheetViews>
    <sheetView workbookViewId="0">
      <selection sqref="A1:B2"/>
    </sheetView>
  </sheetViews>
  <sheetFormatPr defaultRowHeight="15" x14ac:dyDescent="0.25"/>
  <cols>
    <col min="1" max="1" width="14.85546875" customWidth="1"/>
    <col min="23" max="23" width="10.5703125" bestFit="1" customWidth="1"/>
  </cols>
  <sheetData>
    <row r="1" spans="1:33" x14ac:dyDescent="0.25">
      <c r="A1" s="1" t="s">
        <v>0</v>
      </c>
      <c r="B1" s="1" t="s">
        <v>205</v>
      </c>
    </row>
    <row r="2" spans="1:33" x14ac:dyDescent="0.25">
      <c r="A2" s="1" t="s">
        <v>1</v>
      </c>
      <c r="B2" s="4" t="s">
        <v>204</v>
      </c>
    </row>
    <row r="3" spans="1:33" x14ac:dyDescent="0.25">
      <c r="A3" s="1"/>
      <c r="B3" s="1"/>
    </row>
    <row r="4" spans="1:33" x14ac:dyDescent="0.25">
      <c r="A4" s="68" t="s">
        <v>2</v>
      </c>
      <c r="B4" s="68"/>
      <c r="C4" s="68"/>
    </row>
    <row r="5" spans="1:33" x14ac:dyDescent="0.25">
      <c r="A5" t="s">
        <v>3</v>
      </c>
      <c r="B5">
        <v>9.17</v>
      </c>
    </row>
    <row r="7" spans="1:33" x14ac:dyDescent="0.25">
      <c r="A7" t="s">
        <v>4</v>
      </c>
      <c r="B7">
        <v>5.56</v>
      </c>
    </row>
    <row r="8" spans="1:33" x14ac:dyDescent="0.25">
      <c r="A8" t="s">
        <v>5</v>
      </c>
      <c r="B8">
        <v>9.64</v>
      </c>
    </row>
    <row r="9" spans="1:33" x14ac:dyDescent="0.25">
      <c r="A9" t="s">
        <v>6</v>
      </c>
      <c r="B9">
        <v>16.28</v>
      </c>
    </row>
    <row r="10" spans="1:33" x14ac:dyDescent="0.25">
      <c r="A10" t="s">
        <v>7</v>
      </c>
      <c r="B10">
        <v>23.35</v>
      </c>
    </row>
    <row r="11" spans="1:33" x14ac:dyDescent="0.25">
      <c r="A11" t="s">
        <v>8</v>
      </c>
      <c r="B11">
        <v>31.45</v>
      </c>
    </row>
    <row r="15" spans="1:33" x14ac:dyDescent="0.25">
      <c r="A15" s="2"/>
      <c r="B15" s="2"/>
      <c r="C15" s="2"/>
      <c r="D15" s="66" t="s">
        <v>9</v>
      </c>
      <c r="E15" s="66"/>
      <c r="F15" s="66"/>
      <c r="G15" s="66"/>
      <c r="H15" s="66"/>
      <c r="I15" s="66"/>
      <c r="J15" s="66"/>
      <c r="K15" s="66"/>
      <c r="L15" s="66"/>
      <c r="M15" s="66"/>
      <c r="N15" s="66" t="s">
        <v>10</v>
      </c>
      <c r="O15" s="66"/>
      <c r="P15" s="66"/>
      <c r="Q15" s="66"/>
      <c r="R15" s="66"/>
      <c r="S15" s="66"/>
      <c r="T15" s="66"/>
      <c r="U15" s="66"/>
      <c r="V15" s="66"/>
      <c r="W15" s="2"/>
      <c r="X15" s="66" t="s">
        <v>11</v>
      </c>
      <c r="Y15" s="66"/>
      <c r="Z15" s="66"/>
      <c r="AA15" s="66"/>
      <c r="AB15" s="66"/>
      <c r="AC15" s="66"/>
      <c r="AD15" s="66"/>
      <c r="AE15" s="66"/>
      <c r="AF15" s="66"/>
      <c r="AG15" s="2"/>
    </row>
    <row r="16" spans="1:33" x14ac:dyDescent="0.25">
      <c r="A16" s="2" t="s">
        <v>203</v>
      </c>
      <c r="B16" s="2" t="s">
        <v>13</v>
      </c>
      <c r="C16" s="2" t="s">
        <v>14</v>
      </c>
      <c r="D16" s="2" t="s">
        <v>15</v>
      </c>
      <c r="E16" s="2" t="s">
        <v>4</v>
      </c>
      <c r="F16" s="2" t="s">
        <v>16</v>
      </c>
      <c r="G16" s="2" t="s">
        <v>5</v>
      </c>
      <c r="H16" s="2" t="s">
        <v>17</v>
      </c>
      <c r="I16" s="2" t="s">
        <v>6</v>
      </c>
      <c r="J16" s="2" t="s">
        <v>18</v>
      </c>
      <c r="K16" s="2" t="s">
        <v>7</v>
      </c>
      <c r="L16" s="2" t="s">
        <v>19</v>
      </c>
      <c r="M16" s="2" t="s">
        <v>8</v>
      </c>
      <c r="N16" s="2" t="s">
        <v>4</v>
      </c>
      <c r="O16" s="2" t="s">
        <v>16</v>
      </c>
      <c r="P16" s="2" t="s">
        <v>5</v>
      </c>
      <c r="Q16" s="2" t="s">
        <v>17</v>
      </c>
      <c r="R16" s="2" t="s">
        <v>6</v>
      </c>
      <c r="S16" s="2" t="s">
        <v>18</v>
      </c>
      <c r="T16" s="2" t="s">
        <v>7</v>
      </c>
      <c r="U16" s="2" t="s">
        <v>19</v>
      </c>
      <c r="V16" s="2" t="s">
        <v>8</v>
      </c>
      <c r="W16" s="2" t="s">
        <v>20</v>
      </c>
      <c r="X16" s="2" t="s">
        <v>4</v>
      </c>
      <c r="Y16" s="2" t="s">
        <v>16</v>
      </c>
      <c r="Z16" s="2" t="s">
        <v>5</v>
      </c>
      <c r="AA16" s="2" t="s">
        <v>17</v>
      </c>
      <c r="AB16" s="2" t="s">
        <v>6</v>
      </c>
      <c r="AC16" s="2" t="s">
        <v>18</v>
      </c>
      <c r="AD16" s="2" t="s">
        <v>7</v>
      </c>
      <c r="AE16" s="2" t="s">
        <v>19</v>
      </c>
      <c r="AF16" s="2" t="s">
        <v>8</v>
      </c>
      <c r="AG16" s="2" t="s">
        <v>21</v>
      </c>
    </row>
    <row r="17" spans="1:33" x14ac:dyDescent="0.25">
      <c r="A17" t="s">
        <v>202</v>
      </c>
      <c r="B17">
        <v>9.1999999999999993</v>
      </c>
      <c r="C17">
        <v>0.85</v>
      </c>
      <c r="D17">
        <v>299.2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308.39999999999998</v>
      </c>
      <c r="L17">
        <v>0</v>
      </c>
      <c r="M17">
        <v>0</v>
      </c>
      <c r="N17">
        <f t="shared" ref="N17:N34" si="0">((E17/D17)*(7/3.5)*0.000735*86.2*2)</f>
        <v>0</v>
      </c>
      <c r="O17">
        <f t="shared" ref="O17:O34" si="1">((F17/D17)*(7/4.5)*0.000735*100.1*2)</f>
        <v>0</v>
      </c>
      <c r="P17">
        <f t="shared" ref="P17:P34" si="2">((G17/D17)*(7/5.5)*0.000735*114.2*2)</f>
        <v>0</v>
      </c>
      <c r="Q17">
        <f t="shared" ref="Q17:Q34" si="3">((H17/D17)*(7/6.5)*0.000735*128.2*2)</f>
        <v>0</v>
      </c>
      <c r="R17">
        <f t="shared" ref="R17:R34" si="4">((I17/D17)*(7/7.5)*0.000735*142.2*2)</f>
        <v>0</v>
      </c>
      <c r="S17">
        <f t="shared" ref="S17:S34" si="5">((J17/D17)*(7/8.5)*0.000735*156.2*2)</f>
        <v>0</v>
      </c>
      <c r="T17">
        <f t="shared" ref="T17:T34" si="6">((K17/D17)*(7/9.5)*0.000735*170.2*2)</f>
        <v>0.19002209653813679</v>
      </c>
      <c r="U17">
        <f t="shared" ref="U17:U34" si="7">((L17/D17)*(7/10.5)*0.000735*184.2*2)</f>
        <v>0</v>
      </c>
      <c r="V17">
        <f t="shared" ref="V17:V34" si="8">((M17/D17)*(7/11.5)*0.000735*198.2*2)</f>
        <v>0</v>
      </c>
      <c r="W17" s="3">
        <f t="shared" ref="W17:W34" si="9">SUM(N17:V17)</f>
        <v>0.19002209653813679</v>
      </c>
      <c r="X17">
        <f t="shared" ref="X17:X34" si="10">(N17/$W17)*100</f>
        <v>0</v>
      </c>
      <c r="Y17">
        <f t="shared" ref="Y17:Y34" si="11">(O17/$W17)*100</f>
        <v>0</v>
      </c>
      <c r="Z17">
        <f t="shared" ref="Z17:Z34" si="12">(P17/$W17)*100</f>
        <v>0</v>
      </c>
      <c r="AA17">
        <f t="shared" ref="AA17:AA34" si="13">(Q17/$W17)*100</f>
        <v>0</v>
      </c>
      <c r="AB17">
        <f t="shared" ref="AB17:AB34" si="14">(R17/$W17)*100</f>
        <v>0</v>
      </c>
      <c r="AC17">
        <f t="shared" ref="AC17:AC34" si="15">(S17/$W17)*100</f>
        <v>0</v>
      </c>
      <c r="AD17">
        <f t="shared" ref="AD17:AD34" si="16">(T17/$W17)*100</f>
        <v>100</v>
      </c>
      <c r="AE17">
        <f t="shared" ref="AE17:AE34" si="17">(U17/$W17)*100</f>
        <v>0</v>
      </c>
      <c r="AF17">
        <f t="shared" ref="AF17:AF34" si="18">(V17/$W17)*100</f>
        <v>0</v>
      </c>
      <c r="AG17" s="3">
        <f t="shared" ref="AG17:AG34" si="19">((W17/B17)*100)/C17</f>
        <v>2.4299500836078876</v>
      </c>
    </row>
    <row r="18" spans="1:33" x14ac:dyDescent="0.25">
      <c r="A18" t="s">
        <v>201</v>
      </c>
      <c r="B18">
        <v>9.6999999999999993</v>
      </c>
      <c r="C18">
        <v>0.85</v>
      </c>
      <c r="D18">
        <v>295.3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142.19999999999999</v>
      </c>
      <c r="L18">
        <v>0</v>
      </c>
      <c r="M18">
        <v>0</v>
      </c>
      <c r="N18">
        <f t="shared" si="0"/>
        <v>0</v>
      </c>
      <c r="O18">
        <f t="shared" si="1"/>
        <v>0</v>
      </c>
      <c r="P18">
        <f t="shared" si="2"/>
        <v>0</v>
      </c>
      <c r="Q18">
        <f t="shared" si="3"/>
        <v>0</v>
      </c>
      <c r="R18">
        <f t="shared" si="4"/>
        <v>0</v>
      </c>
      <c r="S18">
        <f t="shared" si="5"/>
        <v>0</v>
      </c>
      <c r="T18">
        <f t="shared" si="6"/>
        <v>8.8774344591583926E-2</v>
      </c>
      <c r="U18">
        <f t="shared" si="7"/>
        <v>0</v>
      </c>
      <c r="V18">
        <f t="shared" si="8"/>
        <v>0</v>
      </c>
      <c r="W18" s="3">
        <f t="shared" si="9"/>
        <v>8.8774344591583926E-2</v>
      </c>
      <c r="X18">
        <f t="shared" si="10"/>
        <v>0</v>
      </c>
      <c r="Y18">
        <f t="shared" si="11"/>
        <v>0</v>
      </c>
      <c r="Z18">
        <f t="shared" si="12"/>
        <v>0</v>
      </c>
      <c r="AA18">
        <f t="shared" si="13"/>
        <v>0</v>
      </c>
      <c r="AB18">
        <f t="shared" si="14"/>
        <v>0</v>
      </c>
      <c r="AC18">
        <f t="shared" si="15"/>
        <v>0</v>
      </c>
      <c r="AD18">
        <f t="shared" si="16"/>
        <v>100</v>
      </c>
      <c r="AE18">
        <f t="shared" si="17"/>
        <v>0</v>
      </c>
      <c r="AF18">
        <f t="shared" si="18"/>
        <v>0</v>
      </c>
      <c r="AG18" s="3">
        <f t="shared" si="19"/>
        <v>1.0767052103284891</v>
      </c>
    </row>
    <row r="19" spans="1:33" x14ac:dyDescent="0.25">
      <c r="A19" t="s">
        <v>200</v>
      </c>
      <c r="B19">
        <v>10.9</v>
      </c>
      <c r="C19">
        <v>0.85</v>
      </c>
      <c r="D19">
        <v>337.5</v>
      </c>
      <c r="E19">
        <v>0</v>
      </c>
      <c r="F19">
        <v>0</v>
      </c>
      <c r="G19">
        <v>0</v>
      </c>
      <c r="H19">
        <v>0</v>
      </c>
      <c r="I19">
        <v>12.1</v>
      </c>
      <c r="J19">
        <v>0</v>
      </c>
      <c r="K19">
        <v>188</v>
      </c>
      <c r="L19">
        <v>0</v>
      </c>
      <c r="M19">
        <v>42.8</v>
      </c>
      <c r="N19">
        <f t="shared" si="0"/>
        <v>0</v>
      </c>
      <c r="O19">
        <f t="shared" si="1"/>
        <v>0</v>
      </c>
      <c r="P19">
        <f t="shared" si="2"/>
        <v>0</v>
      </c>
      <c r="Q19">
        <f t="shared" si="3"/>
        <v>0</v>
      </c>
      <c r="R19">
        <f t="shared" si="4"/>
        <v>6.9946389333333334E-3</v>
      </c>
      <c r="S19">
        <f t="shared" si="5"/>
        <v>0</v>
      </c>
      <c r="T19">
        <f t="shared" si="6"/>
        <v>0.10269171274853797</v>
      </c>
      <c r="U19">
        <f t="shared" si="7"/>
        <v>0</v>
      </c>
      <c r="V19">
        <f t="shared" si="8"/>
        <v>2.2490089120772945E-2</v>
      </c>
      <c r="W19" s="3">
        <f t="shared" si="9"/>
        <v>0.13217644080264426</v>
      </c>
      <c r="X19">
        <f t="shared" si="10"/>
        <v>0</v>
      </c>
      <c r="Y19">
        <f t="shared" si="11"/>
        <v>0</v>
      </c>
      <c r="Z19">
        <f t="shared" si="12"/>
        <v>0</v>
      </c>
      <c r="AA19">
        <f t="shared" si="13"/>
        <v>0</v>
      </c>
      <c r="AB19">
        <f t="shared" si="14"/>
        <v>5.2918953565841527</v>
      </c>
      <c r="AC19">
        <f t="shared" si="15"/>
        <v>0</v>
      </c>
      <c r="AD19">
        <f t="shared" si="16"/>
        <v>77.692902097333189</v>
      </c>
      <c r="AE19">
        <f t="shared" si="17"/>
        <v>0</v>
      </c>
      <c r="AF19">
        <f t="shared" si="18"/>
        <v>17.015202546082644</v>
      </c>
      <c r="AG19" s="3">
        <f t="shared" si="19"/>
        <v>1.4266210556140775</v>
      </c>
    </row>
    <row r="20" spans="1:33" x14ac:dyDescent="0.25">
      <c r="A20" t="s">
        <v>199</v>
      </c>
      <c r="B20">
        <v>6.4</v>
      </c>
      <c r="C20">
        <v>0.85</v>
      </c>
      <c r="D20">
        <v>180.8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71.599999999999994</v>
      </c>
      <c r="L20">
        <v>0</v>
      </c>
      <c r="M20">
        <v>0</v>
      </c>
      <c r="N20">
        <f t="shared" si="0"/>
        <v>0</v>
      </c>
      <c r="O20">
        <f t="shared" si="1"/>
        <v>0</v>
      </c>
      <c r="P20">
        <f t="shared" si="2"/>
        <v>0</v>
      </c>
      <c r="Q20">
        <f t="shared" si="3"/>
        <v>0</v>
      </c>
      <c r="R20">
        <f t="shared" si="4"/>
        <v>0</v>
      </c>
      <c r="S20">
        <f t="shared" si="5"/>
        <v>0</v>
      </c>
      <c r="T20">
        <f t="shared" si="6"/>
        <v>7.3007238472286892E-2</v>
      </c>
      <c r="U20">
        <f t="shared" si="7"/>
        <v>0</v>
      </c>
      <c r="V20">
        <f t="shared" si="8"/>
        <v>0</v>
      </c>
      <c r="W20" s="3">
        <f t="shared" si="9"/>
        <v>7.3007238472286892E-2</v>
      </c>
      <c r="X20">
        <f t="shared" si="10"/>
        <v>0</v>
      </c>
      <c r="Y20">
        <f t="shared" si="11"/>
        <v>0</v>
      </c>
      <c r="Z20">
        <f t="shared" si="12"/>
        <v>0</v>
      </c>
      <c r="AA20">
        <f t="shared" si="13"/>
        <v>0</v>
      </c>
      <c r="AB20">
        <f t="shared" si="14"/>
        <v>0</v>
      </c>
      <c r="AC20">
        <f t="shared" si="15"/>
        <v>0</v>
      </c>
      <c r="AD20">
        <f t="shared" si="16"/>
        <v>100</v>
      </c>
      <c r="AE20">
        <f t="shared" si="17"/>
        <v>0</v>
      </c>
      <c r="AF20">
        <f t="shared" si="18"/>
        <v>0</v>
      </c>
      <c r="AG20" s="3">
        <f t="shared" si="19"/>
        <v>1.3420448248582149</v>
      </c>
    </row>
    <row r="21" spans="1:33" x14ac:dyDescent="0.25">
      <c r="A21" t="s">
        <v>198</v>
      </c>
      <c r="B21">
        <v>9.6999999999999993</v>
      </c>
      <c r="C21">
        <v>0.85</v>
      </c>
      <c r="D21">
        <v>221</v>
      </c>
      <c r="E21">
        <v>0</v>
      </c>
      <c r="F21">
        <v>0</v>
      </c>
      <c r="G21">
        <v>0</v>
      </c>
      <c r="H21">
        <v>0</v>
      </c>
      <c r="I21">
        <v>88.8</v>
      </c>
      <c r="J21">
        <v>0</v>
      </c>
      <c r="K21">
        <v>345.6</v>
      </c>
      <c r="L21">
        <v>0</v>
      </c>
      <c r="M21">
        <v>0</v>
      </c>
      <c r="N21">
        <f t="shared" si="0"/>
        <v>0</v>
      </c>
      <c r="O21">
        <f t="shared" si="1"/>
        <v>0</v>
      </c>
      <c r="P21">
        <f t="shared" si="2"/>
        <v>0</v>
      </c>
      <c r="Q21">
        <f t="shared" si="3"/>
        <v>0</v>
      </c>
      <c r="R21">
        <f t="shared" si="4"/>
        <v>7.8392479276018084E-2</v>
      </c>
      <c r="S21">
        <f t="shared" si="5"/>
        <v>0</v>
      </c>
      <c r="T21">
        <f t="shared" si="6"/>
        <v>0.2882921289830912</v>
      </c>
      <c r="U21">
        <f t="shared" si="7"/>
        <v>0</v>
      </c>
      <c r="V21">
        <f t="shared" si="8"/>
        <v>0</v>
      </c>
      <c r="W21" s="3">
        <f t="shared" si="9"/>
        <v>0.36668460825910931</v>
      </c>
      <c r="X21">
        <f t="shared" si="10"/>
        <v>0</v>
      </c>
      <c r="Y21">
        <f t="shared" si="11"/>
        <v>0</v>
      </c>
      <c r="Z21">
        <f t="shared" si="12"/>
        <v>0</v>
      </c>
      <c r="AA21">
        <f t="shared" si="13"/>
        <v>0</v>
      </c>
      <c r="AB21">
        <f t="shared" si="14"/>
        <v>21.378720979917386</v>
      </c>
      <c r="AC21">
        <f t="shared" si="15"/>
        <v>0</v>
      </c>
      <c r="AD21">
        <f t="shared" si="16"/>
        <v>78.621279020082596</v>
      </c>
      <c r="AE21">
        <f t="shared" si="17"/>
        <v>0</v>
      </c>
      <c r="AF21">
        <f t="shared" si="18"/>
        <v>0</v>
      </c>
      <c r="AG21" s="3">
        <f t="shared" si="19"/>
        <v>4.4473572863445652</v>
      </c>
    </row>
    <row r="22" spans="1:33" x14ac:dyDescent="0.25">
      <c r="A22" t="s">
        <v>197</v>
      </c>
      <c r="B22">
        <v>10.8</v>
      </c>
      <c r="C22">
        <v>0.85</v>
      </c>
      <c r="D22">
        <v>202.5</v>
      </c>
      <c r="E22">
        <v>6.9</v>
      </c>
      <c r="F22">
        <v>0</v>
      </c>
      <c r="G22">
        <v>32.9</v>
      </c>
      <c r="H22">
        <v>0</v>
      </c>
      <c r="I22">
        <v>275.10000000000002</v>
      </c>
      <c r="J22">
        <v>0</v>
      </c>
      <c r="K22">
        <v>899.4</v>
      </c>
      <c r="L22">
        <v>0</v>
      </c>
      <c r="M22">
        <v>82.6</v>
      </c>
      <c r="N22">
        <f t="shared" si="0"/>
        <v>8.6353244444444446E-3</v>
      </c>
      <c r="O22">
        <f t="shared" si="1"/>
        <v>0</v>
      </c>
      <c r="P22">
        <f t="shared" si="2"/>
        <v>3.4712801077441076E-2</v>
      </c>
      <c r="Q22">
        <f t="shared" si="3"/>
        <v>0</v>
      </c>
      <c r="R22">
        <f t="shared" si="4"/>
        <v>0.26504478933333331</v>
      </c>
      <c r="S22">
        <f t="shared" si="5"/>
        <v>0</v>
      </c>
      <c r="T22">
        <f t="shared" si="6"/>
        <v>0.81880253941520453</v>
      </c>
      <c r="U22">
        <f t="shared" si="7"/>
        <v>0</v>
      </c>
      <c r="V22">
        <f t="shared" si="8"/>
        <v>7.2339616876006443E-2</v>
      </c>
      <c r="W22" s="3">
        <f t="shared" si="9"/>
        <v>1.1995350711464299</v>
      </c>
      <c r="X22">
        <f t="shared" si="10"/>
        <v>0.71988928478693159</v>
      </c>
      <c r="Y22">
        <f t="shared" si="11"/>
        <v>0</v>
      </c>
      <c r="Z22">
        <f t="shared" si="12"/>
        <v>2.8938546202125681</v>
      </c>
      <c r="AA22">
        <f t="shared" si="13"/>
        <v>0</v>
      </c>
      <c r="AB22">
        <f t="shared" si="14"/>
        <v>22.095626523034667</v>
      </c>
      <c r="AC22">
        <f t="shared" si="15"/>
        <v>0</v>
      </c>
      <c r="AD22">
        <f t="shared" si="16"/>
        <v>68.259991650986208</v>
      </c>
      <c r="AE22">
        <f t="shared" si="17"/>
        <v>0</v>
      </c>
      <c r="AF22">
        <f t="shared" si="18"/>
        <v>6.0306379209796184</v>
      </c>
      <c r="AG22" s="3">
        <f t="shared" si="19"/>
        <v>13.066830840375053</v>
      </c>
    </row>
    <row r="23" spans="1:33" x14ac:dyDescent="0.25">
      <c r="A23" t="s">
        <v>196</v>
      </c>
      <c r="B23">
        <v>8.1999999999999993</v>
      </c>
      <c r="C23">
        <v>0.85</v>
      </c>
      <c r="D23">
        <v>230.2</v>
      </c>
      <c r="E23">
        <v>0</v>
      </c>
      <c r="F23">
        <v>0</v>
      </c>
      <c r="G23">
        <v>33.5</v>
      </c>
      <c r="H23">
        <v>0</v>
      </c>
      <c r="I23">
        <v>262.5</v>
      </c>
      <c r="J23">
        <v>0</v>
      </c>
      <c r="K23">
        <v>822.5</v>
      </c>
      <c r="L23">
        <v>0</v>
      </c>
      <c r="M23">
        <v>71.3</v>
      </c>
      <c r="N23">
        <f t="shared" si="0"/>
        <v>0</v>
      </c>
      <c r="O23">
        <f t="shared" si="1"/>
        <v>0</v>
      </c>
      <c r="P23">
        <f t="shared" si="2"/>
        <v>3.1092688571202912E-2</v>
      </c>
      <c r="Q23">
        <f t="shared" si="3"/>
        <v>0</v>
      </c>
      <c r="R23">
        <f t="shared" si="4"/>
        <v>0.22247319721980888</v>
      </c>
      <c r="S23">
        <f t="shared" si="5"/>
        <v>0</v>
      </c>
      <c r="T23">
        <f t="shared" si="6"/>
        <v>0.6586912776075724</v>
      </c>
      <c r="U23">
        <f t="shared" si="7"/>
        <v>0</v>
      </c>
      <c r="V23">
        <f t="shared" si="8"/>
        <v>5.4929468288444826E-2</v>
      </c>
      <c r="W23" s="3">
        <f t="shared" si="9"/>
        <v>0.96718663168702901</v>
      </c>
      <c r="X23">
        <f t="shared" si="10"/>
        <v>0</v>
      </c>
      <c r="Y23">
        <f t="shared" si="11"/>
        <v>0</v>
      </c>
      <c r="Z23">
        <f t="shared" si="12"/>
        <v>3.2147558240097927</v>
      </c>
      <c r="AA23">
        <f t="shared" si="13"/>
        <v>0</v>
      </c>
      <c r="AB23">
        <f t="shared" si="14"/>
        <v>23.002095968981379</v>
      </c>
      <c r="AC23">
        <f t="shared" si="15"/>
        <v>0</v>
      </c>
      <c r="AD23">
        <f t="shared" si="16"/>
        <v>68.103844286871578</v>
      </c>
      <c r="AE23">
        <f t="shared" si="17"/>
        <v>0</v>
      </c>
      <c r="AF23">
        <f t="shared" si="18"/>
        <v>5.6793039201372455</v>
      </c>
      <c r="AG23" s="3">
        <f t="shared" si="19"/>
        <v>13.876422262367706</v>
      </c>
    </row>
    <row r="24" spans="1:33" x14ac:dyDescent="0.25">
      <c r="A24" t="s">
        <v>195</v>
      </c>
      <c r="B24">
        <v>10</v>
      </c>
      <c r="C24">
        <v>0.85</v>
      </c>
      <c r="D24">
        <v>204.4</v>
      </c>
      <c r="E24">
        <v>8.9</v>
      </c>
      <c r="F24">
        <v>0</v>
      </c>
      <c r="G24">
        <v>42.9</v>
      </c>
      <c r="H24">
        <v>0</v>
      </c>
      <c r="I24">
        <v>373.2</v>
      </c>
      <c r="J24">
        <v>0</v>
      </c>
      <c r="K24">
        <v>1199.9000000000001</v>
      </c>
      <c r="L24">
        <v>0</v>
      </c>
      <c r="M24">
        <v>98.9</v>
      </c>
      <c r="N24">
        <f t="shared" si="0"/>
        <v>1.1034780821917809E-2</v>
      </c>
      <c r="O24">
        <f t="shared" si="1"/>
        <v>0</v>
      </c>
      <c r="P24">
        <f t="shared" si="2"/>
        <v>4.484305479452054E-2</v>
      </c>
      <c r="Q24">
        <f t="shared" si="3"/>
        <v>0</v>
      </c>
      <c r="R24">
        <f t="shared" si="4"/>
        <v>0.35621684383561636</v>
      </c>
      <c r="S24">
        <f t="shared" si="5"/>
        <v>0</v>
      </c>
      <c r="T24">
        <f t="shared" si="6"/>
        <v>1.0822198291276133</v>
      </c>
      <c r="U24">
        <f t="shared" si="7"/>
        <v>0</v>
      </c>
      <c r="V24">
        <f t="shared" si="8"/>
        <v>8.5809739726027387E-2</v>
      </c>
      <c r="W24" s="3">
        <f t="shared" si="9"/>
        <v>1.5801242483056952</v>
      </c>
      <c r="X24">
        <f t="shared" si="10"/>
        <v>0.69834893260767117</v>
      </c>
      <c r="Y24">
        <f t="shared" si="11"/>
        <v>0</v>
      </c>
      <c r="Z24">
        <f t="shared" si="12"/>
        <v>2.8379448541849777</v>
      </c>
      <c r="AA24">
        <f t="shared" si="13"/>
        <v>0</v>
      </c>
      <c r="AB24">
        <f t="shared" si="14"/>
        <v>22.543597075835876</v>
      </c>
      <c r="AC24">
        <f t="shared" si="15"/>
        <v>0</v>
      </c>
      <c r="AD24">
        <f t="shared" si="16"/>
        <v>68.489540002188747</v>
      </c>
      <c r="AE24">
        <f t="shared" si="17"/>
        <v>0</v>
      </c>
      <c r="AF24">
        <f t="shared" si="18"/>
        <v>5.4305691351827416</v>
      </c>
      <c r="AG24" s="3">
        <f t="shared" si="19"/>
        <v>18.589697038890531</v>
      </c>
    </row>
    <row r="25" spans="1:33" x14ac:dyDescent="0.25">
      <c r="A25" t="s">
        <v>194</v>
      </c>
      <c r="B25">
        <v>12</v>
      </c>
      <c r="C25">
        <v>0.85</v>
      </c>
      <c r="D25">
        <v>202.9</v>
      </c>
      <c r="E25">
        <v>10.4</v>
      </c>
      <c r="F25">
        <v>0</v>
      </c>
      <c r="G25">
        <v>60</v>
      </c>
      <c r="H25">
        <v>0</v>
      </c>
      <c r="I25">
        <v>513.5</v>
      </c>
      <c r="J25">
        <v>0</v>
      </c>
      <c r="K25">
        <v>1625.1</v>
      </c>
      <c r="L25">
        <v>0</v>
      </c>
      <c r="M25">
        <v>130.4</v>
      </c>
      <c r="N25">
        <f t="shared" si="0"/>
        <v>1.2989902414982749E-2</v>
      </c>
      <c r="O25">
        <f t="shared" si="1"/>
        <v>0</v>
      </c>
      <c r="P25">
        <f t="shared" si="2"/>
        <v>6.3181217796496256E-2</v>
      </c>
      <c r="Q25">
        <f t="shared" si="3"/>
        <v>0</v>
      </c>
      <c r="R25">
        <f t="shared" si="4"/>
        <v>0.49375568457368146</v>
      </c>
      <c r="S25">
        <f t="shared" si="5"/>
        <v>0</v>
      </c>
      <c r="T25">
        <f t="shared" si="6"/>
        <v>1.4765541157427819</v>
      </c>
      <c r="U25">
        <f t="shared" si="7"/>
        <v>0</v>
      </c>
      <c r="V25">
        <f t="shared" si="8"/>
        <v>0.11397687067949516</v>
      </c>
      <c r="W25" s="3">
        <f t="shared" si="9"/>
        <v>2.1604577912074379</v>
      </c>
      <c r="X25">
        <f t="shared" si="10"/>
        <v>0.60125694044330047</v>
      </c>
      <c r="Y25">
        <f t="shared" si="11"/>
        <v>0</v>
      </c>
      <c r="Z25">
        <f t="shared" si="12"/>
        <v>2.924436573286882</v>
      </c>
      <c r="AA25">
        <f t="shared" si="13"/>
        <v>0</v>
      </c>
      <c r="AB25">
        <f t="shared" si="14"/>
        <v>22.85421573997662</v>
      </c>
      <c r="AC25">
        <f t="shared" si="15"/>
        <v>0</v>
      </c>
      <c r="AD25">
        <f t="shared" si="16"/>
        <v>68.344501880666897</v>
      </c>
      <c r="AE25">
        <f t="shared" si="17"/>
        <v>0</v>
      </c>
      <c r="AF25">
        <f t="shared" si="18"/>
        <v>5.2755888656262853</v>
      </c>
      <c r="AG25" s="3">
        <f t="shared" si="19"/>
        <v>21.180958737327821</v>
      </c>
    </row>
    <row r="26" spans="1:33" x14ac:dyDescent="0.25">
      <c r="A26" t="s">
        <v>193</v>
      </c>
      <c r="B26">
        <v>13.2</v>
      </c>
      <c r="C26">
        <v>0.85</v>
      </c>
      <c r="D26">
        <v>180.3</v>
      </c>
      <c r="E26">
        <v>10.8</v>
      </c>
      <c r="F26">
        <v>0</v>
      </c>
      <c r="G26">
        <v>72.2</v>
      </c>
      <c r="H26">
        <v>0</v>
      </c>
      <c r="I26">
        <v>594.79999999999995</v>
      </c>
      <c r="J26">
        <v>0</v>
      </c>
      <c r="K26">
        <v>1875.9</v>
      </c>
      <c r="L26">
        <v>0</v>
      </c>
      <c r="M26">
        <v>144.9</v>
      </c>
      <c r="N26">
        <f t="shared" si="0"/>
        <v>1.5180379367720466E-2</v>
      </c>
      <c r="O26">
        <f t="shared" si="1"/>
        <v>0</v>
      </c>
      <c r="P26">
        <f t="shared" si="2"/>
        <v>8.5557928301315977E-2</v>
      </c>
      <c r="Q26">
        <f t="shared" si="3"/>
        <v>0</v>
      </c>
      <c r="R26">
        <f t="shared" si="4"/>
        <v>0.64361912545757061</v>
      </c>
      <c r="S26">
        <f t="shared" si="5"/>
        <v>0</v>
      </c>
      <c r="T26">
        <f t="shared" si="6"/>
        <v>1.918073662142044</v>
      </c>
      <c r="U26">
        <f t="shared" si="7"/>
        <v>0</v>
      </c>
      <c r="V26">
        <f t="shared" si="8"/>
        <v>0.14252591680532445</v>
      </c>
      <c r="W26" s="3">
        <f t="shared" si="9"/>
        <v>2.8049570120739755</v>
      </c>
      <c r="X26">
        <f t="shared" si="10"/>
        <v>0.54119828939895753</v>
      </c>
      <c r="Y26">
        <f t="shared" si="11"/>
        <v>0</v>
      </c>
      <c r="Z26">
        <f t="shared" si="12"/>
        <v>3.0502402686754455</v>
      </c>
      <c r="AA26">
        <f t="shared" si="13"/>
        <v>0</v>
      </c>
      <c r="AB26">
        <f t="shared" si="14"/>
        <v>22.945775022116326</v>
      </c>
      <c r="AC26">
        <f t="shared" si="15"/>
        <v>0</v>
      </c>
      <c r="AD26">
        <f t="shared" si="16"/>
        <v>68.381570693799219</v>
      </c>
      <c r="AE26">
        <f t="shared" si="17"/>
        <v>0</v>
      </c>
      <c r="AF26">
        <f t="shared" si="18"/>
        <v>5.0812157260100497</v>
      </c>
      <c r="AG26" s="3">
        <f t="shared" si="19"/>
        <v>24.999616863404423</v>
      </c>
    </row>
    <row r="27" spans="1:33" x14ac:dyDescent="0.25">
      <c r="A27" t="s">
        <v>192</v>
      </c>
      <c r="B27">
        <v>12.7</v>
      </c>
      <c r="C27">
        <v>0.85</v>
      </c>
      <c r="D27">
        <v>239.4</v>
      </c>
      <c r="E27">
        <v>16.7</v>
      </c>
      <c r="F27">
        <v>0</v>
      </c>
      <c r="G27">
        <v>112.7</v>
      </c>
      <c r="H27">
        <v>0</v>
      </c>
      <c r="I27">
        <v>921.8</v>
      </c>
      <c r="J27">
        <v>0</v>
      </c>
      <c r="K27">
        <v>2797.2</v>
      </c>
      <c r="L27">
        <v>0</v>
      </c>
      <c r="M27">
        <v>202.3</v>
      </c>
      <c r="N27">
        <f t="shared" si="0"/>
        <v>1.767856140350877E-2</v>
      </c>
      <c r="O27">
        <f t="shared" si="1"/>
        <v>0</v>
      </c>
      <c r="P27">
        <f t="shared" si="2"/>
        <v>0.10058160446570974</v>
      </c>
      <c r="Q27">
        <f t="shared" si="3"/>
        <v>0</v>
      </c>
      <c r="R27">
        <f t="shared" si="4"/>
        <v>0.75121848421052617</v>
      </c>
      <c r="S27">
        <f t="shared" si="5"/>
        <v>0</v>
      </c>
      <c r="T27">
        <f t="shared" si="6"/>
        <v>2.1540247977839329</v>
      </c>
      <c r="U27">
        <f t="shared" si="7"/>
        <v>0</v>
      </c>
      <c r="V27">
        <f t="shared" si="8"/>
        <v>0.14986248207475211</v>
      </c>
      <c r="W27" s="3">
        <f t="shared" si="9"/>
        <v>3.1733659299384298</v>
      </c>
      <c r="X27">
        <f t="shared" si="10"/>
        <v>0.55709180075087572</v>
      </c>
      <c r="Y27">
        <f t="shared" si="11"/>
        <v>0</v>
      </c>
      <c r="Z27">
        <f t="shared" si="12"/>
        <v>3.1695558182179528</v>
      </c>
      <c r="AA27">
        <f t="shared" si="13"/>
        <v>0</v>
      </c>
      <c r="AB27">
        <f t="shared" si="14"/>
        <v>23.672608227223936</v>
      </c>
      <c r="AC27">
        <f t="shared" si="15"/>
        <v>0</v>
      </c>
      <c r="AD27">
        <f t="shared" si="16"/>
        <v>67.878235455364759</v>
      </c>
      <c r="AE27">
        <f t="shared" si="17"/>
        <v>0</v>
      </c>
      <c r="AF27">
        <f t="shared" si="18"/>
        <v>4.7225086984424696</v>
      </c>
      <c r="AG27" s="3">
        <f t="shared" si="19"/>
        <v>29.396627419531544</v>
      </c>
    </row>
    <row r="28" spans="1:33" x14ac:dyDescent="0.25">
      <c r="A28" t="s">
        <v>191</v>
      </c>
      <c r="B28">
        <v>12.9</v>
      </c>
      <c r="C28">
        <v>0.85</v>
      </c>
      <c r="D28">
        <v>192.7</v>
      </c>
      <c r="E28">
        <v>14.3</v>
      </c>
      <c r="F28">
        <v>0</v>
      </c>
      <c r="G28">
        <v>106.4</v>
      </c>
      <c r="H28">
        <v>0</v>
      </c>
      <c r="I28">
        <v>856.7</v>
      </c>
      <c r="J28">
        <v>0</v>
      </c>
      <c r="K28">
        <v>2584.8000000000002</v>
      </c>
      <c r="L28">
        <v>0</v>
      </c>
      <c r="M28">
        <v>184.1</v>
      </c>
      <c r="N28">
        <f t="shared" si="0"/>
        <v>1.8806540736896731E-2</v>
      </c>
      <c r="O28">
        <f t="shared" si="1"/>
        <v>0</v>
      </c>
      <c r="P28">
        <f t="shared" si="2"/>
        <v>0.11797193489644762</v>
      </c>
      <c r="Q28">
        <f t="shared" si="3"/>
        <v>0</v>
      </c>
      <c r="R28">
        <f t="shared" si="4"/>
        <v>0.86736273627400096</v>
      </c>
      <c r="S28">
        <f t="shared" si="5"/>
        <v>0</v>
      </c>
      <c r="T28">
        <f t="shared" si="6"/>
        <v>2.4728430657963014</v>
      </c>
      <c r="U28">
        <f t="shared" si="7"/>
        <v>0</v>
      </c>
      <c r="V28">
        <f t="shared" si="8"/>
        <v>0.1694311499289276</v>
      </c>
      <c r="W28" s="3">
        <f t="shared" si="9"/>
        <v>3.646415427632574</v>
      </c>
      <c r="X28">
        <f t="shared" si="10"/>
        <v>0.51575420053295551</v>
      </c>
      <c r="Y28">
        <f t="shared" si="11"/>
        <v>0</v>
      </c>
      <c r="Z28">
        <f t="shared" si="12"/>
        <v>3.2352850967680502</v>
      </c>
      <c r="AA28">
        <f t="shared" si="13"/>
        <v>0</v>
      </c>
      <c r="AB28">
        <f t="shared" si="14"/>
        <v>23.78672297459903</v>
      </c>
      <c r="AC28">
        <f t="shared" si="15"/>
        <v>0</v>
      </c>
      <c r="AD28">
        <f t="shared" si="16"/>
        <v>67.815725192940747</v>
      </c>
      <c r="AE28">
        <f t="shared" si="17"/>
        <v>0</v>
      </c>
      <c r="AF28">
        <f t="shared" si="18"/>
        <v>4.6465125351592302</v>
      </c>
      <c r="AG28" s="3">
        <f t="shared" si="19"/>
        <v>33.255042659667794</v>
      </c>
    </row>
    <row r="29" spans="1:33" x14ac:dyDescent="0.25">
      <c r="A29" t="s">
        <v>190</v>
      </c>
      <c r="B29">
        <v>13.8</v>
      </c>
      <c r="C29">
        <v>0.85</v>
      </c>
      <c r="D29">
        <v>185.5</v>
      </c>
      <c r="E29">
        <v>14.8</v>
      </c>
      <c r="F29">
        <v>0</v>
      </c>
      <c r="G29">
        <v>111</v>
      </c>
      <c r="H29">
        <v>0</v>
      </c>
      <c r="I29">
        <v>936.4</v>
      </c>
      <c r="J29">
        <v>0</v>
      </c>
      <c r="K29">
        <v>2829.1</v>
      </c>
      <c r="L29">
        <v>0</v>
      </c>
      <c r="M29">
        <v>201</v>
      </c>
      <c r="N29">
        <f t="shared" si="0"/>
        <v>2.0219592452830188E-2</v>
      </c>
      <c r="O29">
        <f t="shared" si="1"/>
        <v>0</v>
      </c>
      <c r="P29">
        <f t="shared" si="2"/>
        <v>0.12784915265866209</v>
      </c>
      <c r="Q29">
        <f t="shared" si="3"/>
        <v>0</v>
      </c>
      <c r="R29">
        <f t="shared" si="4"/>
        <v>0.98485251622641512</v>
      </c>
      <c r="S29">
        <f t="shared" si="5"/>
        <v>0</v>
      </c>
      <c r="T29">
        <f t="shared" si="6"/>
        <v>2.8116140830188669</v>
      </c>
      <c r="U29">
        <f t="shared" si="7"/>
        <v>0</v>
      </c>
      <c r="V29">
        <f t="shared" si="8"/>
        <v>0.1921645742411813</v>
      </c>
      <c r="W29" s="3">
        <f t="shared" si="9"/>
        <v>4.136699918597956</v>
      </c>
      <c r="X29">
        <f t="shared" si="10"/>
        <v>0.48878557426720903</v>
      </c>
      <c r="Y29">
        <f t="shared" si="11"/>
        <v>0</v>
      </c>
      <c r="Z29">
        <f t="shared" si="12"/>
        <v>3.0906073724098837</v>
      </c>
      <c r="AA29">
        <f t="shared" si="13"/>
        <v>0</v>
      </c>
      <c r="AB29">
        <f t="shared" si="14"/>
        <v>23.807685730325087</v>
      </c>
      <c r="AC29">
        <f t="shared" si="15"/>
        <v>0</v>
      </c>
      <c r="AD29">
        <f t="shared" si="16"/>
        <v>67.967562026394262</v>
      </c>
      <c r="AE29">
        <f t="shared" si="17"/>
        <v>0</v>
      </c>
      <c r="AF29">
        <f t="shared" si="18"/>
        <v>4.6453592966035417</v>
      </c>
      <c r="AG29" s="3">
        <f t="shared" si="19"/>
        <v>35.265983960766889</v>
      </c>
    </row>
    <row r="30" spans="1:33" x14ac:dyDescent="0.25">
      <c r="A30" t="s">
        <v>189</v>
      </c>
      <c r="B30">
        <v>9.6999999999999993</v>
      </c>
      <c r="C30">
        <v>0.85</v>
      </c>
      <c r="D30">
        <v>186.9</v>
      </c>
      <c r="E30">
        <v>10.3</v>
      </c>
      <c r="F30">
        <v>0</v>
      </c>
      <c r="G30">
        <v>88.8</v>
      </c>
      <c r="H30">
        <v>0</v>
      </c>
      <c r="I30">
        <v>663.9</v>
      </c>
      <c r="J30">
        <v>0</v>
      </c>
      <c r="K30">
        <v>1941.3</v>
      </c>
      <c r="L30">
        <v>0</v>
      </c>
      <c r="M30">
        <v>129.30000000000001</v>
      </c>
      <c r="N30">
        <f t="shared" si="0"/>
        <v>1.3966337078651686E-2</v>
      </c>
      <c r="O30">
        <f t="shared" si="1"/>
        <v>0</v>
      </c>
      <c r="P30">
        <f t="shared" si="2"/>
        <v>0.10151318488253319</v>
      </c>
      <c r="Q30">
        <f t="shared" si="3"/>
        <v>0</v>
      </c>
      <c r="R30">
        <f t="shared" si="4"/>
        <v>0.69302208539325827</v>
      </c>
      <c r="S30">
        <f t="shared" si="5"/>
        <v>0</v>
      </c>
      <c r="T30">
        <f t="shared" si="6"/>
        <v>1.9148496439976339</v>
      </c>
      <c r="U30">
        <f t="shared" si="7"/>
        <v>0</v>
      </c>
      <c r="V30">
        <f t="shared" si="8"/>
        <v>0.12269035075720568</v>
      </c>
      <c r="W30" s="3">
        <f t="shared" si="9"/>
        <v>2.8460416021092825</v>
      </c>
      <c r="X30">
        <f t="shared" si="10"/>
        <v>0.49072849350834635</v>
      </c>
      <c r="Y30">
        <f t="shared" si="11"/>
        <v>0</v>
      </c>
      <c r="Z30">
        <f t="shared" si="12"/>
        <v>3.5668201338764298</v>
      </c>
      <c r="AA30">
        <f t="shared" si="13"/>
        <v>0</v>
      </c>
      <c r="AB30">
        <f t="shared" si="14"/>
        <v>24.350384930411412</v>
      </c>
      <c r="AC30">
        <f t="shared" si="15"/>
        <v>0</v>
      </c>
      <c r="AD30">
        <f t="shared" si="16"/>
        <v>67.281154378716195</v>
      </c>
      <c r="AE30">
        <f t="shared" si="17"/>
        <v>0</v>
      </c>
      <c r="AF30">
        <f t="shared" si="18"/>
        <v>4.3109120634876295</v>
      </c>
      <c r="AG30" s="3">
        <f t="shared" si="19"/>
        <v>34.518394203872447</v>
      </c>
    </row>
    <row r="31" spans="1:33" x14ac:dyDescent="0.25">
      <c r="A31" t="s">
        <v>168</v>
      </c>
      <c r="B31">
        <v>13.2</v>
      </c>
      <c r="C31">
        <v>0.85</v>
      </c>
      <c r="D31">
        <v>244.1</v>
      </c>
      <c r="E31">
        <v>17.8</v>
      </c>
      <c r="F31">
        <v>0</v>
      </c>
      <c r="G31">
        <v>152.4</v>
      </c>
      <c r="H31">
        <v>0</v>
      </c>
      <c r="I31">
        <v>1202.4000000000001</v>
      </c>
      <c r="J31">
        <v>0</v>
      </c>
      <c r="K31">
        <v>3531.9</v>
      </c>
      <c r="L31">
        <v>0</v>
      </c>
      <c r="M31">
        <v>242.2</v>
      </c>
      <c r="N31">
        <f t="shared" si="0"/>
        <v>1.8480206472757065E-2</v>
      </c>
      <c r="O31">
        <f t="shared" si="1"/>
        <v>0</v>
      </c>
      <c r="P31">
        <f t="shared" si="2"/>
        <v>0.13339390205206511</v>
      </c>
      <c r="Q31">
        <f t="shared" si="3"/>
        <v>0</v>
      </c>
      <c r="R31">
        <f t="shared" si="4"/>
        <v>0.96102546562884061</v>
      </c>
      <c r="S31">
        <f t="shared" si="5"/>
        <v>0</v>
      </c>
      <c r="T31">
        <f t="shared" si="6"/>
        <v>2.6674233252980875</v>
      </c>
      <c r="U31">
        <f t="shared" si="7"/>
        <v>0</v>
      </c>
      <c r="V31">
        <f t="shared" si="8"/>
        <v>0.17596550651016155</v>
      </c>
      <c r="W31" s="3">
        <f t="shared" si="9"/>
        <v>3.9562884059619119</v>
      </c>
      <c r="X31">
        <f t="shared" si="10"/>
        <v>0.46710968909416206</v>
      </c>
      <c r="Y31">
        <f t="shared" si="11"/>
        <v>0</v>
      </c>
      <c r="Z31">
        <f t="shared" si="12"/>
        <v>3.3716930709866282</v>
      </c>
      <c r="AA31">
        <f t="shared" si="13"/>
        <v>0</v>
      </c>
      <c r="AB31">
        <f t="shared" si="14"/>
        <v>24.291087176067027</v>
      </c>
      <c r="AC31">
        <f t="shared" si="15"/>
        <v>0</v>
      </c>
      <c r="AD31">
        <f t="shared" si="16"/>
        <v>67.422367926423803</v>
      </c>
      <c r="AE31">
        <f t="shared" si="17"/>
        <v>0</v>
      </c>
      <c r="AF31">
        <f t="shared" si="18"/>
        <v>4.4477421374283805</v>
      </c>
      <c r="AG31" s="3">
        <f t="shared" si="19"/>
        <v>35.261037486291556</v>
      </c>
    </row>
    <row r="32" spans="1:33" x14ac:dyDescent="0.25">
      <c r="A32" t="s">
        <v>169</v>
      </c>
      <c r="B32">
        <v>11.9</v>
      </c>
      <c r="C32">
        <v>0.85</v>
      </c>
      <c r="D32">
        <v>196</v>
      </c>
      <c r="E32">
        <v>14.2</v>
      </c>
      <c r="F32">
        <v>0</v>
      </c>
      <c r="G32">
        <v>120</v>
      </c>
      <c r="H32">
        <v>0</v>
      </c>
      <c r="I32">
        <v>958.2</v>
      </c>
      <c r="J32">
        <v>0</v>
      </c>
      <c r="K32">
        <v>2818.6</v>
      </c>
      <c r="L32">
        <v>0</v>
      </c>
      <c r="M32">
        <v>186.7</v>
      </c>
      <c r="N32">
        <f t="shared" si="0"/>
        <v>1.8360599999999998E-2</v>
      </c>
      <c r="O32">
        <f t="shared" si="1"/>
        <v>0</v>
      </c>
      <c r="P32">
        <f t="shared" si="2"/>
        <v>0.13081090909090909</v>
      </c>
      <c r="Q32">
        <f t="shared" si="3"/>
        <v>0</v>
      </c>
      <c r="R32">
        <f t="shared" si="4"/>
        <v>0.95379228000000005</v>
      </c>
      <c r="S32">
        <f t="shared" si="5"/>
        <v>0</v>
      </c>
      <c r="T32">
        <f t="shared" si="6"/>
        <v>2.6511158210526311</v>
      </c>
      <c r="U32">
        <f t="shared" si="7"/>
        <v>0</v>
      </c>
      <c r="V32">
        <f t="shared" si="8"/>
        <v>0.16893103043478258</v>
      </c>
      <c r="W32" s="3">
        <f t="shared" si="9"/>
        <v>3.9230106405783225</v>
      </c>
      <c r="X32">
        <f t="shared" si="10"/>
        <v>0.46802320162183692</v>
      </c>
      <c r="Y32">
        <f t="shared" si="11"/>
        <v>0</v>
      </c>
      <c r="Z32">
        <f t="shared" si="12"/>
        <v>3.3344520592894749</v>
      </c>
      <c r="AA32">
        <f t="shared" si="13"/>
        <v>0</v>
      </c>
      <c r="AB32">
        <f t="shared" si="14"/>
        <v>24.312763012526368</v>
      </c>
      <c r="AC32">
        <f t="shared" si="15"/>
        <v>0</v>
      </c>
      <c r="AD32">
        <f t="shared" si="16"/>
        <v>67.578603882191075</v>
      </c>
      <c r="AE32">
        <f t="shared" si="17"/>
        <v>0</v>
      </c>
      <c r="AF32">
        <f t="shared" si="18"/>
        <v>4.306157844371258</v>
      </c>
      <c r="AG32" s="3">
        <f t="shared" si="19"/>
        <v>38.784089377936944</v>
      </c>
    </row>
    <row r="33" spans="1:33" x14ac:dyDescent="0.25">
      <c r="A33" t="s">
        <v>188</v>
      </c>
      <c r="B33">
        <v>13.5</v>
      </c>
      <c r="C33">
        <v>0.85</v>
      </c>
      <c r="D33">
        <v>235.7</v>
      </c>
      <c r="E33">
        <v>18.2</v>
      </c>
      <c r="F33">
        <v>0</v>
      </c>
      <c r="G33">
        <v>152.4</v>
      </c>
      <c r="H33">
        <v>0</v>
      </c>
      <c r="I33">
        <v>1222.4000000000001</v>
      </c>
      <c r="J33">
        <v>0</v>
      </c>
      <c r="K33">
        <v>3674.9</v>
      </c>
      <c r="L33">
        <v>0</v>
      </c>
      <c r="M33">
        <v>239.1</v>
      </c>
      <c r="N33">
        <f t="shared" si="0"/>
        <v>1.9568899448451423E-2</v>
      </c>
      <c r="O33">
        <f t="shared" si="1"/>
        <v>0</v>
      </c>
      <c r="P33">
        <f t="shared" si="2"/>
        <v>0.13814786377135804</v>
      </c>
      <c r="Q33">
        <f t="shared" si="3"/>
        <v>0</v>
      </c>
      <c r="R33">
        <f t="shared" si="4"/>
        <v>1.0118298012728044</v>
      </c>
      <c r="S33">
        <f t="shared" si="5"/>
        <v>0</v>
      </c>
      <c r="T33">
        <f t="shared" si="6"/>
        <v>2.874334240314405</v>
      </c>
      <c r="U33">
        <f t="shared" si="7"/>
        <v>0</v>
      </c>
      <c r="V33">
        <f t="shared" si="8"/>
        <v>0.17990414853074099</v>
      </c>
      <c r="W33" s="3">
        <f t="shared" si="9"/>
        <v>4.2237849533377601</v>
      </c>
      <c r="X33">
        <f t="shared" si="10"/>
        <v>0.46330245655587887</v>
      </c>
      <c r="Y33">
        <f t="shared" si="11"/>
        <v>0</v>
      </c>
      <c r="Z33">
        <f t="shared" si="12"/>
        <v>3.2707125314746315</v>
      </c>
      <c r="AA33">
        <f t="shared" si="13"/>
        <v>0</v>
      </c>
      <c r="AB33">
        <f t="shared" si="14"/>
        <v>23.955523599117576</v>
      </c>
      <c r="AC33">
        <f t="shared" si="15"/>
        <v>0</v>
      </c>
      <c r="AD33">
        <f t="shared" si="16"/>
        <v>68.051150143025652</v>
      </c>
      <c r="AE33">
        <f t="shared" si="17"/>
        <v>0</v>
      </c>
      <c r="AF33">
        <f t="shared" si="18"/>
        <v>4.2593112698262585</v>
      </c>
      <c r="AG33" s="3">
        <f t="shared" si="19"/>
        <v>36.808583471353025</v>
      </c>
    </row>
    <row r="34" spans="1:33" x14ac:dyDescent="0.25">
      <c r="A34" t="s">
        <v>187</v>
      </c>
      <c r="B34">
        <v>9.5</v>
      </c>
      <c r="C34">
        <v>0.85</v>
      </c>
      <c r="D34">
        <v>222.4</v>
      </c>
      <c r="E34">
        <v>0</v>
      </c>
      <c r="F34">
        <v>0</v>
      </c>
      <c r="G34">
        <v>11</v>
      </c>
      <c r="H34">
        <v>0</v>
      </c>
      <c r="I34">
        <v>105.5</v>
      </c>
      <c r="J34">
        <v>0</v>
      </c>
      <c r="K34">
        <v>405.6</v>
      </c>
      <c r="L34">
        <v>0</v>
      </c>
      <c r="M34">
        <v>47.7</v>
      </c>
      <c r="N34">
        <f t="shared" si="0"/>
        <v>0</v>
      </c>
      <c r="O34">
        <f t="shared" si="1"/>
        <v>0</v>
      </c>
      <c r="P34">
        <f t="shared" si="2"/>
        <v>1.0567607913669064E-2</v>
      </c>
      <c r="Q34">
        <f t="shared" si="3"/>
        <v>0</v>
      </c>
      <c r="R34">
        <f t="shared" si="4"/>
        <v>9.2548926258992789E-2</v>
      </c>
      <c r="S34">
        <f t="shared" si="5"/>
        <v>0</v>
      </c>
      <c r="T34">
        <f t="shared" si="6"/>
        <v>0.33621298977659969</v>
      </c>
      <c r="U34">
        <f t="shared" si="7"/>
        <v>0</v>
      </c>
      <c r="V34">
        <f t="shared" si="8"/>
        <v>3.803687073819205E-2</v>
      </c>
      <c r="W34" s="3">
        <f t="shared" si="9"/>
        <v>0.47736639468745362</v>
      </c>
      <c r="X34">
        <f t="shared" si="10"/>
        <v>0</v>
      </c>
      <c r="Y34">
        <f t="shared" si="11"/>
        <v>0</v>
      </c>
      <c r="Z34">
        <f t="shared" si="12"/>
        <v>2.2137310106606898</v>
      </c>
      <c r="AA34">
        <f t="shared" si="13"/>
        <v>0</v>
      </c>
      <c r="AB34">
        <f t="shared" si="14"/>
        <v>19.387398712803694</v>
      </c>
      <c r="AC34">
        <f t="shared" si="15"/>
        <v>0</v>
      </c>
      <c r="AD34">
        <f t="shared" si="16"/>
        <v>70.430803994220952</v>
      </c>
      <c r="AE34">
        <f t="shared" si="17"/>
        <v>0</v>
      </c>
      <c r="AF34">
        <f t="shared" si="18"/>
        <v>7.9680662823146466</v>
      </c>
      <c r="AG34" s="3">
        <f t="shared" si="19"/>
        <v>5.9116581385443174</v>
      </c>
    </row>
    <row r="35" spans="1:33" x14ac:dyDescent="0.25">
      <c r="W35" s="3"/>
      <c r="AG35" s="3"/>
    </row>
    <row r="36" spans="1:33" x14ac:dyDescent="0.25">
      <c r="W36" s="3"/>
      <c r="AG36" s="3"/>
    </row>
    <row r="37" spans="1:33" x14ac:dyDescent="0.25">
      <c r="W37" s="3"/>
      <c r="AG37" s="3"/>
    </row>
    <row r="38" spans="1:33" x14ac:dyDescent="0.25">
      <c r="W38" s="3"/>
      <c r="AG38" s="3"/>
    </row>
    <row r="39" spans="1:33" x14ac:dyDescent="0.25">
      <c r="W39" s="3"/>
      <c r="AG39" s="3"/>
    </row>
    <row r="40" spans="1:33" x14ac:dyDescent="0.25">
      <c r="W40" s="3"/>
      <c r="AG40" s="3"/>
    </row>
    <row r="41" spans="1:33" x14ac:dyDescent="0.25">
      <c r="W41" s="3"/>
      <c r="AG41" s="3"/>
    </row>
    <row r="42" spans="1:33" x14ac:dyDescent="0.25">
      <c r="W42" s="3"/>
      <c r="AG42" s="3"/>
    </row>
    <row r="43" spans="1:33" x14ac:dyDescent="0.25">
      <c r="W43" s="3"/>
      <c r="AG43" s="3"/>
    </row>
    <row r="44" spans="1:33" x14ac:dyDescent="0.25">
      <c r="W44" s="3"/>
      <c r="AG44" s="3"/>
    </row>
    <row r="45" spans="1:33" x14ac:dyDescent="0.25">
      <c r="W45" s="3"/>
      <c r="AG45" s="3"/>
    </row>
    <row r="46" spans="1:33" x14ac:dyDescent="0.25">
      <c r="W46" s="3"/>
      <c r="AG46" s="3"/>
    </row>
    <row r="47" spans="1:33" x14ac:dyDescent="0.25">
      <c r="W47" s="3"/>
      <c r="AG47" s="3"/>
    </row>
    <row r="48" spans="1:33" x14ac:dyDescent="0.25">
      <c r="W48" s="3"/>
      <c r="AG48" s="3"/>
    </row>
    <row r="49" spans="23:33" x14ac:dyDescent="0.25">
      <c r="W49" s="3"/>
      <c r="AG49" s="3"/>
    </row>
    <row r="50" spans="23:33" x14ac:dyDescent="0.25">
      <c r="W50" s="3"/>
      <c r="AG50" s="3"/>
    </row>
    <row r="51" spans="23:33" x14ac:dyDescent="0.25">
      <c r="W51" s="3"/>
      <c r="AG51" s="3"/>
    </row>
    <row r="52" spans="23:33" x14ac:dyDescent="0.25">
      <c r="W52" s="3"/>
      <c r="AG52" s="3"/>
    </row>
    <row r="53" spans="23:33" x14ac:dyDescent="0.25">
      <c r="W53" s="3"/>
      <c r="AG53" s="3"/>
    </row>
    <row r="54" spans="23:33" x14ac:dyDescent="0.25">
      <c r="W54" s="3"/>
      <c r="AG54" s="3"/>
    </row>
    <row r="55" spans="23:33" x14ac:dyDescent="0.25">
      <c r="W55" s="3"/>
      <c r="AG55" s="3"/>
    </row>
    <row r="56" spans="23:33" x14ac:dyDescent="0.25">
      <c r="W56" s="3"/>
      <c r="AG56" s="3"/>
    </row>
    <row r="57" spans="23:33" x14ac:dyDescent="0.25">
      <c r="W57" s="3"/>
      <c r="AG57" s="3"/>
    </row>
    <row r="58" spans="23:33" x14ac:dyDescent="0.25">
      <c r="W58" s="3"/>
      <c r="AG58" s="3"/>
    </row>
    <row r="59" spans="23:33" x14ac:dyDescent="0.25">
      <c r="W59" s="3"/>
      <c r="AG59" s="3"/>
    </row>
    <row r="60" spans="23:33" x14ac:dyDescent="0.25">
      <c r="W60" s="3"/>
      <c r="AG60" s="3"/>
    </row>
    <row r="61" spans="23:33" x14ac:dyDescent="0.25">
      <c r="W61" s="3"/>
      <c r="AG61" s="3"/>
    </row>
    <row r="62" spans="23:33" x14ac:dyDescent="0.25">
      <c r="W62" s="3"/>
      <c r="AG62" s="3"/>
    </row>
    <row r="63" spans="23:33" x14ac:dyDescent="0.25">
      <c r="W63" s="3"/>
      <c r="AG63" s="3"/>
    </row>
    <row r="64" spans="23:33" x14ac:dyDescent="0.25">
      <c r="W64" s="3"/>
      <c r="AG64" s="3"/>
    </row>
  </sheetData>
  <mergeCells count="4">
    <mergeCell ref="A4:C4"/>
    <mergeCell ref="D15:M15"/>
    <mergeCell ref="N15:V15"/>
    <mergeCell ref="X15:AF1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50368A-2CEE-41DA-96F0-FAF6C7FA3014}">
  <dimension ref="A1:T54"/>
  <sheetViews>
    <sheetView topLeftCell="B1" workbookViewId="0">
      <selection activeCell="P20" sqref="P20"/>
    </sheetView>
  </sheetViews>
  <sheetFormatPr defaultRowHeight="15" x14ac:dyDescent="0.25"/>
  <sheetData>
    <row r="1" spans="1:20" x14ac:dyDescent="0.25">
      <c r="A1" s="1" t="s">
        <v>0</v>
      </c>
      <c r="B1" s="1" t="s">
        <v>205</v>
      </c>
      <c r="H1" s="68" t="s">
        <v>215</v>
      </c>
      <c r="I1" s="68"/>
      <c r="J1" s="68"/>
      <c r="K1" s="68"/>
      <c r="L1" s="68"/>
    </row>
    <row r="2" spans="1:20" x14ac:dyDescent="0.25">
      <c r="A2" s="1" t="s">
        <v>1</v>
      </c>
      <c r="B2" s="4" t="s">
        <v>204</v>
      </c>
      <c r="H2" s="73">
        <v>44988</v>
      </c>
      <c r="I2" s="68"/>
      <c r="J2" s="68"/>
      <c r="K2" s="68"/>
      <c r="L2" s="68"/>
      <c r="M2" s="48"/>
      <c r="N2" s="48"/>
      <c r="O2" s="48"/>
      <c r="P2" s="48"/>
      <c r="Q2" s="48"/>
      <c r="R2" s="48"/>
      <c r="S2" s="48"/>
      <c r="T2" s="48"/>
    </row>
    <row r="3" spans="1:20" x14ac:dyDescent="0.25">
      <c r="H3" s="68" t="s">
        <v>185</v>
      </c>
      <c r="I3" s="68"/>
      <c r="J3" s="68"/>
      <c r="K3" s="68"/>
      <c r="L3" s="68"/>
      <c r="M3" s="62"/>
      <c r="N3" s="62"/>
      <c r="O3" s="62"/>
      <c r="P3" s="62"/>
      <c r="Q3" s="62"/>
      <c r="R3" s="62"/>
      <c r="S3" s="62"/>
      <c r="T3" s="62"/>
    </row>
    <row r="4" spans="1:20" x14ac:dyDescent="0.25">
      <c r="H4" t="s">
        <v>121</v>
      </c>
      <c r="I4" t="s">
        <v>118</v>
      </c>
      <c r="J4" t="s">
        <v>119</v>
      </c>
      <c r="K4" t="s">
        <v>120</v>
      </c>
      <c r="L4" t="s">
        <v>103</v>
      </c>
    </row>
    <row r="5" spans="1:20" x14ac:dyDescent="0.25">
      <c r="H5">
        <v>1</v>
      </c>
      <c r="I5" s="52">
        <v>0.363666667</v>
      </c>
      <c r="J5" s="52">
        <f t="shared" ref="J5:J29" si="0">I5/0.473200374269469</f>
        <v>0.7685257383015216</v>
      </c>
      <c r="K5">
        <v>100</v>
      </c>
      <c r="L5" s="52">
        <f t="shared" ref="L5:L29" si="1">J5*K5</f>
        <v>76.852573830152153</v>
      </c>
    </row>
    <row r="6" spans="1:20" x14ac:dyDescent="0.25">
      <c r="H6">
        <v>2</v>
      </c>
      <c r="I6" s="52">
        <v>0.364666667</v>
      </c>
      <c r="J6" s="52">
        <f t="shared" si="0"/>
        <v>0.77063900797410756</v>
      </c>
      <c r="K6">
        <v>100</v>
      </c>
      <c r="L6" s="52">
        <f t="shared" si="1"/>
        <v>77.063900797410753</v>
      </c>
      <c r="M6" s="8"/>
      <c r="O6" s="8"/>
      <c r="P6" s="59"/>
      <c r="R6" s="8"/>
      <c r="T6" s="8"/>
    </row>
    <row r="7" spans="1:20" x14ac:dyDescent="0.25">
      <c r="H7">
        <v>3</v>
      </c>
      <c r="I7" s="52">
        <v>0.35066666700000004</v>
      </c>
      <c r="J7" s="52">
        <f t="shared" si="0"/>
        <v>0.74105323255790412</v>
      </c>
      <c r="K7">
        <v>100</v>
      </c>
      <c r="L7" s="52">
        <f t="shared" si="1"/>
        <v>74.10532325579041</v>
      </c>
      <c r="M7" s="8"/>
      <c r="O7" s="8"/>
      <c r="P7" s="59"/>
      <c r="R7" s="8"/>
      <c r="T7" s="8"/>
    </row>
    <row r="8" spans="1:20" x14ac:dyDescent="0.25">
      <c r="H8">
        <v>4</v>
      </c>
      <c r="I8" s="52">
        <v>0.33566666700000003</v>
      </c>
      <c r="J8" s="52">
        <f t="shared" si="0"/>
        <v>0.70935418746911449</v>
      </c>
      <c r="K8">
        <v>100</v>
      </c>
      <c r="L8" s="52">
        <f t="shared" si="1"/>
        <v>70.935418746911452</v>
      </c>
      <c r="M8" s="8"/>
      <c r="O8" s="8"/>
      <c r="P8" s="59"/>
      <c r="R8" s="8"/>
      <c r="T8" s="8"/>
    </row>
    <row r="9" spans="1:20" x14ac:dyDescent="0.25">
      <c r="H9">
        <v>5</v>
      </c>
      <c r="I9" s="52">
        <v>0.28966666700000004</v>
      </c>
      <c r="J9" s="52">
        <f t="shared" si="0"/>
        <v>0.61214378253015977</v>
      </c>
      <c r="K9">
        <v>100</v>
      </c>
      <c r="L9" s="52">
        <f t="shared" si="1"/>
        <v>61.21437825301598</v>
      </c>
      <c r="M9" s="8"/>
      <c r="O9" s="8"/>
      <c r="P9" s="59"/>
      <c r="R9" s="8"/>
      <c r="T9" s="8"/>
    </row>
    <row r="10" spans="1:20" x14ac:dyDescent="0.25">
      <c r="H10">
        <v>6</v>
      </c>
      <c r="I10" s="52">
        <v>0.25066666700000001</v>
      </c>
      <c r="J10" s="52">
        <f t="shared" si="0"/>
        <v>0.52972626529930678</v>
      </c>
      <c r="K10">
        <v>100</v>
      </c>
      <c r="L10" s="52">
        <f t="shared" si="1"/>
        <v>52.972626529930679</v>
      </c>
      <c r="M10" s="8"/>
      <c r="O10" s="8"/>
      <c r="P10" s="59"/>
      <c r="R10" s="8"/>
      <c r="T10" s="8"/>
    </row>
    <row r="11" spans="1:20" x14ac:dyDescent="0.25">
      <c r="H11">
        <v>7</v>
      </c>
      <c r="I11" s="52">
        <v>0.172666667</v>
      </c>
      <c r="J11" s="52">
        <f t="shared" si="0"/>
        <v>0.364891230837601</v>
      </c>
      <c r="K11">
        <v>100</v>
      </c>
      <c r="L11" s="52">
        <f t="shared" si="1"/>
        <v>36.489123083760099</v>
      </c>
      <c r="M11" s="8"/>
      <c r="O11" s="8"/>
      <c r="P11" s="59"/>
      <c r="R11" s="8"/>
      <c r="T11" s="8"/>
    </row>
    <row r="12" spans="1:20" x14ac:dyDescent="0.25">
      <c r="H12">
        <v>8</v>
      </c>
      <c r="I12" s="52">
        <v>9.1666666999999993E-2</v>
      </c>
      <c r="J12" s="52">
        <f t="shared" si="0"/>
        <v>0.19371638735813729</v>
      </c>
      <c r="K12">
        <v>100</v>
      </c>
      <c r="L12" s="52">
        <f t="shared" si="1"/>
        <v>19.371638735813729</v>
      </c>
      <c r="M12" s="8"/>
      <c r="O12" s="8"/>
      <c r="P12" s="59"/>
      <c r="R12" s="8"/>
      <c r="T12" s="8"/>
    </row>
    <row r="13" spans="1:20" x14ac:dyDescent="0.25">
      <c r="H13">
        <v>9</v>
      </c>
      <c r="I13" s="52">
        <v>5.7666667000000005E-2</v>
      </c>
      <c r="J13" s="52">
        <f t="shared" si="0"/>
        <v>0.12186521849021427</v>
      </c>
      <c r="K13">
        <v>100</v>
      </c>
      <c r="L13" s="52">
        <f t="shared" si="1"/>
        <v>12.186521849021426</v>
      </c>
      <c r="M13" s="8"/>
      <c r="O13" s="8"/>
      <c r="P13" s="59"/>
      <c r="R13" s="8"/>
      <c r="T13" s="8"/>
    </row>
    <row r="14" spans="1:20" x14ac:dyDescent="0.25">
      <c r="H14">
        <v>10</v>
      </c>
      <c r="I14" s="52">
        <v>1.8666666999999998E-2</v>
      </c>
      <c r="J14" s="52">
        <f t="shared" si="0"/>
        <v>3.944770125936136E-2</v>
      </c>
      <c r="K14">
        <v>100</v>
      </c>
      <c r="L14" s="52">
        <f t="shared" si="1"/>
        <v>3.9447701259361359</v>
      </c>
      <c r="M14" s="8"/>
      <c r="O14" s="8"/>
      <c r="P14" s="59"/>
      <c r="R14" s="8"/>
      <c r="T14" s="8"/>
    </row>
    <row r="15" spans="1:20" x14ac:dyDescent="0.25">
      <c r="H15">
        <v>11</v>
      </c>
      <c r="I15" s="52">
        <v>0.12366666699999999</v>
      </c>
      <c r="J15" s="52">
        <f t="shared" si="0"/>
        <v>0.2613410168808884</v>
      </c>
      <c r="K15">
        <v>1</v>
      </c>
      <c r="L15" s="52">
        <f t="shared" si="1"/>
        <v>0.2613410168808884</v>
      </c>
      <c r="M15" s="8"/>
      <c r="O15" s="8"/>
      <c r="P15" s="59"/>
      <c r="R15" s="8"/>
      <c r="T15" s="8"/>
    </row>
    <row r="16" spans="1:20" x14ac:dyDescent="0.25">
      <c r="H16">
        <v>12</v>
      </c>
      <c r="I16" s="52">
        <v>5.6666670000000002E-3</v>
      </c>
      <c r="J16" s="52">
        <f t="shared" si="0"/>
        <v>1.1975195515743732E-2</v>
      </c>
      <c r="K16">
        <v>1</v>
      </c>
      <c r="L16" s="52">
        <f t="shared" si="1"/>
        <v>1.1975195515743732E-2</v>
      </c>
      <c r="M16" s="8"/>
      <c r="O16" s="8"/>
      <c r="P16" s="59"/>
      <c r="R16" s="8"/>
      <c r="T16" s="8"/>
    </row>
    <row r="17" spans="3:20" x14ac:dyDescent="0.25">
      <c r="H17">
        <v>13</v>
      </c>
      <c r="I17" s="52">
        <v>0.35166666700000004</v>
      </c>
      <c r="J17" s="52">
        <f t="shared" si="0"/>
        <v>0.74316650223049008</v>
      </c>
      <c r="K17">
        <v>1</v>
      </c>
      <c r="L17" s="52">
        <f t="shared" si="1"/>
        <v>0.74316650223049008</v>
      </c>
      <c r="M17" s="60"/>
      <c r="N17" s="60"/>
      <c r="P17" s="59"/>
      <c r="R17" s="8"/>
      <c r="T17" s="8"/>
    </row>
    <row r="18" spans="3:20" x14ac:dyDescent="0.25">
      <c r="H18">
        <v>14</v>
      </c>
      <c r="I18" s="52">
        <v>0.32666666700000002</v>
      </c>
      <c r="J18" s="52">
        <f t="shared" si="0"/>
        <v>0.69033476041584074</v>
      </c>
      <c r="K18">
        <v>1</v>
      </c>
      <c r="L18" s="52">
        <f t="shared" si="1"/>
        <v>0.69033476041584074</v>
      </c>
      <c r="M18" s="60"/>
      <c r="N18" s="60"/>
    </row>
    <row r="19" spans="3:20" x14ac:dyDescent="0.25">
      <c r="H19">
        <v>15</v>
      </c>
      <c r="I19" s="52">
        <v>0.34666666700000004</v>
      </c>
      <c r="J19" s="52">
        <f t="shared" si="0"/>
        <v>0.73260015386756017</v>
      </c>
      <c r="K19">
        <v>1</v>
      </c>
      <c r="L19" s="52">
        <f t="shared" si="1"/>
        <v>0.73260015386756017</v>
      </c>
      <c r="M19" s="60"/>
      <c r="N19" s="60"/>
    </row>
    <row r="20" spans="3:20" x14ac:dyDescent="0.25">
      <c r="H20">
        <v>16</v>
      </c>
      <c r="I20" s="52">
        <v>0.33666666700000003</v>
      </c>
      <c r="J20" s="52">
        <f t="shared" si="0"/>
        <v>0.71146745714170045</v>
      </c>
      <c r="K20">
        <v>1</v>
      </c>
      <c r="L20" s="52">
        <f t="shared" si="1"/>
        <v>0.71146745714170045</v>
      </c>
      <c r="M20" s="60"/>
      <c r="N20" s="60"/>
    </row>
    <row r="21" spans="3:20" x14ac:dyDescent="0.25">
      <c r="H21">
        <v>17</v>
      </c>
      <c r="I21" s="52">
        <v>0.24566666700000001</v>
      </c>
      <c r="J21" s="52">
        <f t="shared" si="0"/>
        <v>0.51915991693637698</v>
      </c>
      <c r="K21">
        <v>1</v>
      </c>
      <c r="L21" s="52">
        <f t="shared" si="1"/>
        <v>0.51915991693637698</v>
      </c>
      <c r="M21" s="60"/>
      <c r="N21" s="60"/>
    </row>
    <row r="22" spans="3:20" x14ac:dyDescent="0.25">
      <c r="H22">
        <v>18</v>
      </c>
      <c r="I22" s="52">
        <v>0.20566666700000003</v>
      </c>
      <c r="J22" s="52">
        <f t="shared" si="0"/>
        <v>0.43462913003293813</v>
      </c>
      <c r="K22">
        <v>1</v>
      </c>
      <c r="L22" s="52">
        <f t="shared" si="1"/>
        <v>0.43462913003293813</v>
      </c>
      <c r="M22" s="60"/>
      <c r="N22" s="60"/>
    </row>
    <row r="23" spans="3:20" x14ac:dyDescent="0.25">
      <c r="H23">
        <v>19</v>
      </c>
      <c r="I23" s="52">
        <v>7.6666667000000008E-2</v>
      </c>
      <c r="J23" s="52">
        <f t="shared" si="0"/>
        <v>0.16201734226934775</v>
      </c>
      <c r="K23">
        <v>1</v>
      </c>
      <c r="L23" s="52">
        <f t="shared" si="1"/>
        <v>0.16201734226934775</v>
      </c>
      <c r="M23" s="60"/>
      <c r="N23" s="60"/>
    </row>
    <row r="24" spans="3:20" x14ac:dyDescent="0.25">
      <c r="H24">
        <v>20</v>
      </c>
      <c r="I24" s="52">
        <v>1.5666667000000009E-2</v>
      </c>
      <c r="J24" s="52">
        <f t="shared" si="0"/>
        <v>3.3107892241603466E-2</v>
      </c>
      <c r="K24">
        <v>1</v>
      </c>
      <c r="L24" s="52">
        <f t="shared" si="1"/>
        <v>3.3107892241603466E-2</v>
      </c>
    </row>
    <row r="25" spans="3:20" x14ac:dyDescent="0.25">
      <c r="H25">
        <v>21</v>
      </c>
      <c r="I25" s="52">
        <v>8.6666670000000029E-3</v>
      </c>
      <c r="J25" s="52">
        <f t="shared" si="0"/>
        <v>1.8315004533501652E-2</v>
      </c>
      <c r="K25">
        <v>1</v>
      </c>
      <c r="L25" s="52">
        <f t="shared" si="1"/>
        <v>1.8315004533501652E-2</v>
      </c>
    </row>
    <row r="26" spans="3:20" x14ac:dyDescent="0.25">
      <c r="H26">
        <v>22</v>
      </c>
      <c r="I26" s="52">
        <v>-3.3333299999999816E-4</v>
      </c>
      <c r="J26" s="52">
        <f t="shared" si="0"/>
        <v>-7.0442251977209582E-4</v>
      </c>
      <c r="K26">
        <v>1</v>
      </c>
      <c r="L26" s="52">
        <f t="shared" si="1"/>
        <v>-7.0442251977209582E-4</v>
      </c>
    </row>
    <row r="27" spans="3:20" x14ac:dyDescent="0.25">
      <c r="C27" s="72"/>
      <c r="D27" s="72"/>
      <c r="H27">
        <v>23</v>
      </c>
      <c r="I27" s="52">
        <v>-4.3333329999999948E-3</v>
      </c>
      <c r="J27" s="52">
        <f t="shared" si="0"/>
        <v>-9.1575012101159751E-3</v>
      </c>
      <c r="K27">
        <v>1</v>
      </c>
      <c r="L27" s="52">
        <f t="shared" si="1"/>
        <v>-9.1575012101159751E-3</v>
      </c>
    </row>
    <row r="28" spans="3:20" x14ac:dyDescent="0.25">
      <c r="H28">
        <v>24</v>
      </c>
      <c r="I28" s="52">
        <v>-2.3333329999999999E-3</v>
      </c>
      <c r="J28" s="52">
        <f t="shared" si="0"/>
        <v>-4.9309618649440428E-3</v>
      </c>
      <c r="K28">
        <v>1</v>
      </c>
      <c r="L28" s="52">
        <f t="shared" si="1"/>
        <v>-4.9309618649440428E-3</v>
      </c>
    </row>
    <row r="29" spans="3:20" x14ac:dyDescent="0.25">
      <c r="C29" s="47"/>
      <c r="H29" t="s">
        <v>214</v>
      </c>
      <c r="I29" s="52">
        <v>-3.3333329999999939E-3</v>
      </c>
      <c r="J29" s="52">
        <f t="shared" si="0"/>
        <v>-7.044231537530002E-3</v>
      </c>
      <c r="K29">
        <v>1</v>
      </c>
      <c r="L29" s="52">
        <f t="shared" si="1"/>
        <v>-7.044231537530002E-3</v>
      </c>
    </row>
    <row r="33" spans="2:20" x14ac:dyDescent="0.25">
      <c r="C33" s="52"/>
      <c r="D33" s="52"/>
      <c r="E33" s="61"/>
    </row>
    <row r="34" spans="2:20" x14ac:dyDescent="0.25">
      <c r="C34" s="52"/>
      <c r="D34" s="52"/>
      <c r="E34" s="61"/>
    </row>
    <row r="35" spans="2:20" x14ac:dyDescent="0.25">
      <c r="C35" s="52"/>
      <c r="D35" s="52"/>
      <c r="E35" s="61"/>
    </row>
    <row r="36" spans="2:20" x14ac:dyDescent="0.25">
      <c r="B36" s="72" t="s">
        <v>122</v>
      </c>
      <c r="C36" s="72"/>
    </row>
    <row r="38" spans="2:20" x14ac:dyDescent="0.25">
      <c r="B38" s="47">
        <v>44988</v>
      </c>
      <c r="E38" t="s">
        <v>123</v>
      </c>
      <c r="F38" t="s">
        <v>124</v>
      </c>
      <c r="G38" t="s">
        <v>152</v>
      </c>
    </row>
    <row r="39" spans="2:20" x14ac:dyDescent="0.25">
      <c r="B39" t="s">
        <v>125</v>
      </c>
    </row>
    <row r="41" spans="2:20" x14ac:dyDescent="0.25">
      <c r="C41" t="s">
        <v>126</v>
      </c>
      <c r="D41" t="s">
        <v>127</v>
      </c>
    </row>
    <row r="42" spans="2:20" x14ac:dyDescent="0.25">
      <c r="C42" s="52">
        <f>C43*2</f>
        <v>65.462500000000006</v>
      </c>
      <c r="D42" s="52">
        <v>3.2126666670000001</v>
      </c>
    </row>
    <row r="43" spans="2:20" x14ac:dyDescent="0.25">
      <c r="C43" s="52">
        <v>32.731250000000003</v>
      </c>
      <c r="D43" s="52">
        <v>3.0466666670000002</v>
      </c>
    </row>
    <row r="44" spans="2:20" x14ac:dyDescent="0.25">
      <c r="C44" s="52">
        <f t="shared" ref="C44:C53" si="2">C43/2</f>
        <v>16.365625000000001</v>
      </c>
      <c r="D44" s="52">
        <v>3.4466666670000001</v>
      </c>
    </row>
    <row r="45" spans="2:20" x14ac:dyDescent="0.25">
      <c r="C45" s="52">
        <f t="shared" si="2"/>
        <v>8.1828125000000007</v>
      </c>
      <c r="D45" s="52">
        <v>3.250666667</v>
      </c>
    </row>
    <row r="46" spans="2:20" x14ac:dyDescent="0.25">
      <c r="C46" s="52">
        <f t="shared" si="2"/>
        <v>4.0914062500000004</v>
      </c>
      <c r="D46" s="52">
        <v>1.921666667</v>
      </c>
    </row>
    <row r="47" spans="2:20" x14ac:dyDescent="0.25">
      <c r="C47" s="52">
        <f t="shared" si="2"/>
        <v>2.0457031250000002</v>
      </c>
      <c r="D47" s="52">
        <v>1.032666667</v>
      </c>
      <c r="Q47" cm="1">
        <f t="array" ref="Q47:R51">LINEST(D46:D53,C46:C53,,TRUE)</f>
        <v>0.47320037426946909</v>
      </c>
      <c r="R47">
        <v>1.8168603483346257E-2</v>
      </c>
      <c r="S47" t="s">
        <v>128</v>
      </c>
      <c r="T47" t="s">
        <v>129</v>
      </c>
    </row>
    <row r="48" spans="2:20" x14ac:dyDescent="0.25">
      <c r="C48" s="52">
        <f t="shared" si="2"/>
        <v>1.0228515625000001</v>
      </c>
      <c r="D48" s="52">
        <v>0.53866666699999999</v>
      </c>
      <c r="Q48">
        <v>8.3267557514167933E-3</v>
      </c>
      <c r="R48">
        <v>1.3908154016021605E-2</v>
      </c>
      <c r="S48" t="s">
        <v>130</v>
      </c>
      <c r="T48" t="s">
        <v>131</v>
      </c>
    </row>
    <row r="49" spans="3:20" x14ac:dyDescent="0.25">
      <c r="C49" s="52">
        <f t="shared" si="2"/>
        <v>0.51142578125000004</v>
      </c>
      <c r="D49" s="52">
        <v>0.27266666700000003</v>
      </c>
      <c r="Q49">
        <v>0.99814558627246763</v>
      </c>
      <c r="R49">
        <v>3.1172099282808032E-2</v>
      </c>
      <c r="S49" t="s">
        <v>132</v>
      </c>
      <c r="T49" t="s">
        <v>133</v>
      </c>
    </row>
    <row r="50" spans="3:20" x14ac:dyDescent="0.25">
      <c r="C50" s="52">
        <f t="shared" si="2"/>
        <v>0.25571289062500002</v>
      </c>
      <c r="D50" s="52">
        <v>0.13266666700000002</v>
      </c>
      <c r="Q50">
        <v>3229.5239345559253</v>
      </c>
      <c r="R50">
        <v>6</v>
      </c>
      <c r="S50" t="s">
        <v>134</v>
      </c>
      <c r="T50" t="s">
        <v>135</v>
      </c>
    </row>
    <row r="51" spans="3:20" x14ac:dyDescent="0.25">
      <c r="C51" s="52">
        <f t="shared" si="2"/>
        <v>0.12785644531250001</v>
      </c>
      <c r="D51" s="52">
        <v>6.366666700000001E-2</v>
      </c>
      <c r="Q51">
        <v>3.1381276763578163</v>
      </c>
      <c r="R51">
        <v>5.8301986421834462E-3</v>
      </c>
      <c r="S51" t="s">
        <v>136</v>
      </c>
      <c r="T51" t="s">
        <v>137</v>
      </c>
    </row>
    <row r="52" spans="3:20" x14ac:dyDescent="0.25">
      <c r="C52" s="52">
        <f t="shared" si="2"/>
        <v>6.3928222656250006E-2</v>
      </c>
      <c r="D52" s="52">
        <v>2.7666667000000006E-2</v>
      </c>
    </row>
    <row r="53" spans="3:20" x14ac:dyDescent="0.25">
      <c r="C53" s="52">
        <f t="shared" si="2"/>
        <v>3.1964111328125003E-2</v>
      </c>
      <c r="D53" s="52">
        <v>1.2666667000000006E-2</v>
      </c>
    </row>
    <row r="54" spans="3:20" x14ac:dyDescent="0.25">
      <c r="D54" s="8"/>
    </row>
  </sheetData>
  <mergeCells count="5">
    <mergeCell ref="C27:D27"/>
    <mergeCell ref="H1:L1"/>
    <mergeCell ref="H2:L2"/>
    <mergeCell ref="H3:L3"/>
    <mergeCell ref="B36:C36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F6C794-0FC0-40D0-8581-8371D1F4F723}">
  <dimension ref="A1:Q64"/>
  <sheetViews>
    <sheetView tabSelected="1" workbookViewId="0">
      <selection activeCell="Q36" sqref="Q36"/>
    </sheetView>
  </sheetViews>
  <sheetFormatPr defaultRowHeight="15" x14ac:dyDescent="0.25"/>
  <cols>
    <col min="1" max="1" width="12.28515625" customWidth="1"/>
    <col min="3" max="3" width="12.7109375" customWidth="1"/>
  </cols>
  <sheetData>
    <row r="1" spans="1:17" x14ac:dyDescent="0.25">
      <c r="A1" s="1" t="s">
        <v>0</v>
      </c>
      <c r="B1" s="1" t="s">
        <v>205</v>
      </c>
    </row>
    <row r="2" spans="1:17" x14ac:dyDescent="0.25">
      <c r="A2" s="1" t="s">
        <v>1</v>
      </c>
      <c r="B2" s="4" t="s">
        <v>204</v>
      </c>
    </row>
    <row r="5" spans="1:17" x14ac:dyDescent="0.25">
      <c r="A5" s="2" t="s">
        <v>110</v>
      </c>
      <c r="B5" t="s">
        <v>111</v>
      </c>
      <c r="J5" s="66"/>
      <c r="K5" s="66"/>
      <c r="L5" s="66"/>
      <c r="M5" s="66"/>
      <c r="N5" s="66"/>
      <c r="O5" s="66"/>
      <c r="P5" s="66"/>
      <c r="Q5" s="66"/>
    </row>
    <row r="7" spans="1:17" x14ac:dyDescent="0.25">
      <c r="A7" s="55"/>
      <c r="B7" s="2" t="s">
        <v>112</v>
      </c>
    </row>
    <row r="8" spans="1:17" x14ac:dyDescent="0.25">
      <c r="B8" t="s">
        <v>113</v>
      </c>
    </row>
    <row r="9" spans="1:17" x14ac:dyDescent="0.25">
      <c r="B9" t="s">
        <v>114</v>
      </c>
      <c r="C9" t="s">
        <v>115</v>
      </c>
    </row>
    <row r="10" spans="1:17" x14ac:dyDescent="0.25">
      <c r="B10">
        <v>100</v>
      </c>
      <c r="C10">
        <v>38930.896999999997</v>
      </c>
      <c r="D10" s="56"/>
      <c r="E10" s="56"/>
      <c r="F10" s="56"/>
    </row>
    <row r="11" spans="1:17" x14ac:dyDescent="0.25">
      <c r="B11">
        <f t="shared" ref="B11:B19" si="0">B10/2</f>
        <v>50</v>
      </c>
      <c r="C11">
        <v>26488.097000000002</v>
      </c>
      <c r="D11" s="56"/>
      <c r="E11" s="56"/>
      <c r="F11" s="56"/>
      <c r="O11" cm="1">
        <f t="array" ref="O11:P15">LINEST(C12:C19,B12:B19,,TRUE)</f>
        <v>641.92498674515866</v>
      </c>
      <c r="P11">
        <v>172.10082958946623</v>
      </c>
    </row>
    <row r="12" spans="1:17" x14ac:dyDescent="0.25">
      <c r="B12">
        <f t="shared" si="0"/>
        <v>25</v>
      </c>
      <c r="C12">
        <v>15972.812</v>
      </c>
      <c r="O12">
        <v>10.006308583743312</v>
      </c>
      <c r="P12">
        <v>102.12568016315453</v>
      </c>
    </row>
    <row r="13" spans="1:17" x14ac:dyDescent="0.25">
      <c r="B13">
        <f t="shared" si="0"/>
        <v>12.5</v>
      </c>
      <c r="C13">
        <v>8583.5589999999993</v>
      </c>
      <c r="O13">
        <v>0.99854421321804143</v>
      </c>
      <c r="P13">
        <v>228.89247830466408</v>
      </c>
    </row>
    <row r="14" spans="1:17" x14ac:dyDescent="0.25">
      <c r="B14">
        <f t="shared" si="0"/>
        <v>6.25</v>
      </c>
      <c r="C14">
        <v>4404.5919999999996</v>
      </c>
      <c r="O14">
        <v>4115.4826747689231</v>
      </c>
      <c r="P14">
        <v>6</v>
      </c>
    </row>
    <row r="15" spans="1:17" x14ac:dyDescent="0.25">
      <c r="B15">
        <f t="shared" si="0"/>
        <v>3.125</v>
      </c>
      <c r="C15">
        <v>2238.1509999999998</v>
      </c>
      <c r="O15">
        <v>215617407.84346524</v>
      </c>
      <c r="P15">
        <v>314350.59974670666</v>
      </c>
    </row>
    <row r="16" spans="1:17" x14ac:dyDescent="0.25">
      <c r="B16">
        <f t="shared" si="0"/>
        <v>1.5625</v>
      </c>
      <c r="C16">
        <v>1133.5630000000001</v>
      </c>
    </row>
    <row r="17" spans="1:7" x14ac:dyDescent="0.25">
      <c r="B17">
        <f t="shared" si="0"/>
        <v>0.78125</v>
      </c>
      <c r="C17">
        <v>574.73599999999999</v>
      </c>
    </row>
    <row r="18" spans="1:7" x14ac:dyDescent="0.25">
      <c r="B18">
        <f t="shared" si="0"/>
        <v>0.390625</v>
      </c>
      <c r="C18">
        <v>291.07600000000002</v>
      </c>
    </row>
    <row r="19" spans="1:7" x14ac:dyDescent="0.25">
      <c r="B19">
        <f t="shared" si="0"/>
        <v>0.1953125</v>
      </c>
      <c r="C19">
        <v>149.191</v>
      </c>
    </row>
    <row r="27" spans="1:7" x14ac:dyDescent="0.25">
      <c r="B27" s="2" t="s">
        <v>185</v>
      </c>
      <c r="C27" s="2" t="s">
        <v>213</v>
      </c>
    </row>
    <row r="28" spans="1:7" x14ac:dyDescent="0.25">
      <c r="B28" s="2"/>
      <c r="C28" t="s">
        <v>212</v>
      </c>
      <c r="E28" t="s">
        <v>211</v>
      </c>
      <c r="F28">
        <v>5.6</v>
      </c>
    </row>
    <row r="29" spans="1:7" x14ac:dyDescent="0.25">
      <c r="B29" s="2"/>
    </row>
    <row r="30" spans="1:7" x14ac:dyDescent="0.25">
      <c r="B30" t="s">
        <v>210</v>
      </c>
      <c r="C30" t="s">
        <v>115</v>
      </c>
      <c r="D30" t="s">
        <v>156</v>
      </c>
      <c r="E30" t="s">
        <v>101</v>
      </c>
      <c r="F30" t="s">
        <v>209</v>
      </c>
      <c r="G30" t="s">
        <v>102</v>
      </c>
    </row>
    <row r="31" spans="1:7" x14ac:dyDescent="0.25">
      <c r="A31" s="57"/>
      <c r="B31" t="s">
        <v>208</v>
      </c>
      <c r="C31">
        <v>15135.611000000001</v>
      </c>
      <c r="D31">
        <f t="shared" ref="D31:D57" si="1">C31/641.925</f>
        <v>23.578472562994122</v>
      </c>
      <c r="E31">
        <f t="shared" ref="E31:E57" si="2">D31*0.144105</f>
        <v>3.3977757886902684</v>
      </c>
      <c r="F31">
        <f t="shared" ref="F31:F57" si="3">E31*0.583443</f>
        <v>1.9824084994808164</v>
      </c>
      <c r="G31">
        <f t="shared" ref="G31:G57" si="4">1000*F31</f>
        <v>1982.4084994808165</v>
      </c>
    </row>
    <row r="32" spans="1:7" x14ac:dyDescent="0.25">
      <c r="A32" s="57"/>
      <c r="B32" t="s">
        <v>207</v>
      </c>
      <c r="C32">
        <v>15211.233</v>
      </c>
      <c r="D32">
        <f t="shared" si="1"/>
        <v>23.696277602523661</v>
      </c>
      <c r="E32">
        <f t="shared" si="2"/>
        <v>3.4147520839116723</v>
      </c>
      <c r="F32">
        <f t="shared" si="3"/>
        <v>1.9923132000936781</v>
      </c>
      <c r="G32">
        <f t="shared" si="4"/>
        <v>1992.313200093678</v>
      </c>
    </row>
    <row r="33" spans="1:7" x14ac:dyDescent="0.25">
      <c r="A33" s="57"/>
      <c r="B33">
        <v>1</v>
      </c>
      <c r="C33">
        <v>14357.915000000001</v>
      </c>
      <c r="D33">
        <f t="shared" si="1"/>
        <v>22.366966545936055</v>
      </c>
      <c r="E33">
        <f t="shared" si="2"/>
        <v>3.2231917141021156</v>
      </c>
      <c r="F33">
        <f t="shared" si="3"/>
        <v>1.8805486432508807</v>
      </c>
      <c r="G33">
        <f t="shared" si="4"/>
        <v>1880.5486432508806</v>
      </c>
    </row>
    <row r="34" spans="1:7" x14ac:dyDescent="0.25">
      <c r="A34" s="57"/>
      <c r="B34">
        <v>2</v>
      </c>
      <c r="C34">
        <v>15100.371999999999</v>
      </c>
      <c r="D34">
        <f t="shared" si="1"/>
        <v>23.52357674183121</v>
      </c>
      <c r="E34">
        <f t="shared" si="2"/>
        <v>3.3898650263815866</v>
      </c>
      <c r="F34">
        <f t="shared" si="3"/>
        <v>1.9777930205871521</v>
      </c>
      <c r="G34">
        <f t="shared" si="4"/>
        <v>1977.7930205871521</v>
      </c>
    </row>
    <row r="35" spans="1:7" x14ac:dyDescent="0.25">
      <c r="A35" s="57"/>
      <c r="B35">
        <v>3</v>
      </c>
      <c r="C35">
        <v>15211.099</v>
      </c>
      <c r="D35">
        <f t="shared" si="1"/>
        <v>23.696068855395882</v>
      </c>
      <c r="E35">
        <f t="shared" si="2"/>
        <v>3.4147220024068239</v>
      </c>
      <c r="F35">
        <f t="shared" si="3"/>
        <v>1.9922956492502446</v>
      </c>
      <c r="G35">
        <f t="shared" si="4"/>
        <v>1992.2956492502447</v>
      </c>
    </row>
    <row r="36" spans="1:7" x14ac:dyDescent="0.25">
      <c r="A36" s="57"/>
      <c r="B36">
        <v>4</v>
      </c>
      <c r="C36">
        <v>14920.141</v>
      </c>
      <c r="D36">
        <f t="shared" si="1"/>
        <v>23.242810297153095</v>
      </c>
      <c r="E36">
        <f t="shared" si="2"/>
        <v>3.349405177871247</v>
      </c>
      <c r="F36">
        <f t="shared" si="3"/>
        <v>1.9541870051927341</v>
      </c>
      <c r="G36">
        <f t="shared" si="4"/>
        <v>1954.1870051927342</v>
      </c>
    </row>
    <row r="37" spans="1:7" x14ac:dyDescent="0.25">
      <c r="A37" s="57"/>
      <c r="B37">
        <v>5</v>
      </c>
      <c r="C37">
        <v>14649.045</v>
      </c>
      <c r="D37">
        <f t="shared" si="1"/>
        <v>22.820493048253301</v>
      </c>
      <c r="E37">
        <f t="shared" si="2"/>
        <v>3.288547150718542</v>
      </c>
      <c r="F37">
        <f t="shared" si="3"/>
        <v>1.9186798152566784</v>
      </c>
      <c r="G37">
        <f t="shared" si="4"/>
        <v>1918.6798152566785</v>
      </c>
    </row>
    <row r="38" spans="1:7" x14ac:dyDescent="0.25">
      <c r="A38" s="57"/>
      <c r="B38">
        <v>6</v>
      </c>
      <c r="C38">
        <v>14179.786</v>
      </c>
      <c r="D38">
        <f t="shared" si="1"/>
        <v>22.089474627098184</v>
      </c>
      <c r="E38">
        <f t="shared" si="2"/>
        <v>3.1832037411379841</v>
      </c>
      <c r="F38">
        <f t="shared" si="3"/>
        <v>1.8572179403407689</v>
      </c>
      <c r="G38">
        <f t="shared" si="4"/>
        <v>1857.217940340769</v>
      </c>
    </row>
    <row r="39" spans="1:7" x14ac:dyDescent="0.25">
      <c r="A39" s="57"/>
      <c r="B39">
        <v>7</v>
      </c>
      <c r="C39">
        <v>13084.32</v>
      </c>
      <c r="D39">
        <f t="shared" si="1"/>
        <v>20.382941932468746</v>
      </c>
      <c r="E39">
        <f t="shared" si="2"/>
        <v>2.9372838471784091</v>
      </c>
      <c r="F39">
        <f t="shared" si="3"/>
        <v>1.7137376996493126</v>
      </c>
      <c r="G39">
        <f t="shared" si="4"/>
        <v>1713.7376996493126</v>
      </c>
    </row>
    <row r="40" spans="1:7" x14ac:dyDescent="0.25">
      <c r="A40" s="57"/>
      <c r="B40">
        <v>8</v>
      </c>
      <c r="C40">
        <v>11879.5</v>
      </c>
      <c r="D40">
        <f t="shared" si="1"/>
        <v>18.506056003427194</v>
      </c>
      <c r="E40">
        <f t="shared" si="2"/>
        <v>2.6668152003738759</v>
      </c>
      <c r="F40">
        <f t="shared" si="3"/>
        <v>1.5559346609517353</v>
      </c>
      <c r="G40">
        <f t="shared" si="4"/>
        <v>1555.9346609517352</v>
      </c>
    </row>
    <row r="41" spans="1:7" x14ac:dyDescent="0.25">
      <c r="A41" s="57"/>
      <c r="B41">
        <v>9</v>
      </c>
      <c r="C41">
        <v>10734.263999999999</v>
      </c>
      <c r="D41">
        <f t="shared" si="1"/>
        <v>16.721990886785839</v>
      </c>
      <c r="E41">
        <f t="shared" si="2"/>
        <v>2.4097224967402737</v>
      </c>
      <c r="F41">
        <f t="shared" si="3"/>
        <v>1.4059357226656357</v>
      </c>
      <c r="G41">
        <f t="shared" si="4"/>
        <v>1405.9357226656357</v>
      </c>
    </row>
    <row r="42" spans="1:7" x14ac:dyDescent="0.25">
      <c r="A42" s="57"/>
      <c r="B42">
        <v>10</v>
      </c>
      <c r="C42">
        <v>9453.5380000000005</v>
      </c>
      <c r="D42">
        <f t="shared" si="1"/>
        <v>14.726857498929004</v>
      </c>
      <c r="E42">
        <f t="shared" si="2"/>
        <v>2.1222137998831641</v>
      </c>
      <c r="F42">
        <f t="shared" si="3"/>
        <v>1.238190786045233</v>
      </c>
      <c r="G42">
        <f t="shared" si="4"/>
        <v>1238.1907860452329</v>
      </c>
    </row>
    <row r="43" spans="1:7" x14ac:dyDescent="0.25">
      <c r="A43" s="57"/>
      <c r="B43">
        <v>11</v>
      </c>
      <c r="C43">
        <v>8822.5329999999994</v>
      </c>
      <c r="D43">
        <f t="shared" si="1"/>
        <v>13.743868832028664</v>
      </c>
      <c r="E43">
        <f t="shared" si="2"/>
        <v>1.9805602180394908</v>
      </c>
      <c r="F43">
        <f t="shared" si="3"/>
        <v>1.1555439952936146</v>
      </c>
      <c r="G43">
        <f t="shared" si="4"/>
        <v>1155.5439952936147</v>
      </c>
    </row>
    <row r="44" spans="1:7" x14ac:dyDescent="0.25">
      <c r="A44" s="57"/>
      <c r="B44">
        <v>12</v>
      </c>
      <c r="C44">
        <v>7465.7740000000003</v>
      </c>
      <c r="D44">
        <f t="shared" si="1"/>
        <v>11.630290142929471</v>
      </c>
      <c r="E44">
        <f t="shared" si="2"/>
        <v>1.6759829610468515</v>
      </c>
      <c r="F44">
        <f t="shared" si="3"/>
        <v>0.97784052674205824</v>
      </c>
      <c r="G44">
        <f t="shared" si="4"/>
        <v>977.84052674205827</v>
      </c>
    </row>
    <row r="45" spans="1:7" x14ac:dyDescent="0.25">
      <c r="A45" s="57"/>
      <c r="B45">
        <v>13</v>
      </c>
      <c r="C45">
        <v>6659.0209999999997</v>
      </c>
      <c r="D45">
        <f t="shared" si="1"/>
        <v>10.373518713245318</v>
      </c>
      <c r="E45">
        <f t="shared" si="2"/>
        <v>1.4948759141722165</v>
      </c>
      <c r="F45">
        <f t="shared" si="3"/>
        <v>0.87217488799238063</v>
      </c>
      <c r="G45">
        <f t="shared" si="4"/>
        <v>872.1748879923806</v>
      </c>
    </row>
    <row r="46" spans="1:7" x14ac:dyDescent="0.25">
      <c r="A46" s="57"/>
      <c r="B46">
        <v>14</v>
      </c>
      <c r="C46">
        <v>6526.22</v>
      </c>
      <c r="D46">
        <f t="shared" si="1"/>
        <v>10.166639404914905</v>
      </c>
      <c r="E46">
        <f t="shared" si="2"/>
        <v>1.4650635714452624</v>
      </c>
      <c r="F46">
        <f t="shared" si="3"/>
        <v>0.85478108531473829</v>
      </c>
      <c r="G46">
        <f t="shared" si="4"/>
        <v>854.78108531473833</v>
      </c>
    </row>
    <row r="47" spans="1:7" x14ac:dyDescent="0.25">
      <c r="A47" s="57"/>
      <c r="B47">
        <v>15</v>
      </c>
      <c r="C47">
        <v>5643.7539999999999</v>
      </c>
      <c r="D47">
        <f t="shared" si="1"/>
        <v>8.7919211745920478</v>
      </c>
      <c r="E47">
        <f t="shared" si="2"/>
        <v>1.266959800864587</v>
      </c>
      <c r="F47">
        <f t="shared" si="3"/>
        <v>0.73919882709583729</v>
      </c>
      <c r="G47">
        <f t="shared" si="4"/>
        <v>739.19882709583726</v>
      </c>
    </row>
    <row r="48" spans="1:7" x14ac:dyDescent="0.25">
      <c r="A48" s="57"/>
      <c r="B48">
        <v>16</v>
      </c>
      <c r="C48">
        <v>4807.9380000000001</v>
      </c>
      <c r="D48">
        <f t="shared" si="1"/>
        <v>7.4898749853954909</v>
      </c>
      <c r="E48">
        <f t="shared" si="2"/>
        <v>1.0793284347704173</v>
      </c>
      <c r="F48">
        <f t="shared" si="3"/>
        <v>0.62972661996775658</v>
      </c>
      <c r="G48">
        <f t="shared" si="4"/>
        <v>629.72661996775662</v>
      </c>
    </row>
    <row r="49" spans="1:7" x14ac:dyDescent="0.25">
      <c r="A49" s="57"/>
      <c r="B49">
        <v>17</v>
      </c>
      <c r="C49">
        <v>3975.5230000000001</v>
      </c>
      <c r="D49">
        <f t="shared" si="1"/>
        <v>6.1931269229271342</v>
      </c>
      <c r="E49">
        <f t="shared" si="2"/>
        <v>0.89246055522841472</v>
      </c>
      <c r="F49">
        <f t="shared" si="3"/>
        <v>0.52069986372413202</v>
      </c>
      <c r="G49">
        <f t="shared" si="4"/>
        <v>520.699863724132</v>
      </c>
    </row>
    <row r="50" spans="1:7" x14ac:dyDescent="0.25">
      <c r="A50" s="57"/>
      <c r="B50">
        <v>18</v>
      </c>
      <c r="C50">
        <v>2550.7510000000002</v>
      </c>
      <c r="D50">
        <f t="shared" si="1"/>
        <v>3.9735966039646384</v>
      </c>
      <c r="E50">
        <f t="shared" si="2"/>
        <v>0.57261513861432423</v>
      </c>
      <c r="F50">
        <f t="shared" si="3"/>
        <v>0.33408829431855719</v>
      </c>
      <c r="G50">
        <f t="shared" si="4"/>
        <v>334.08829431855719</v>
      </c>
    </row>
    <row r="51" spans="1:7" x14ac:dyDescent="0.25">
      <c r="A51" s="57"/>
      <c r="B51">
        <v>19</v>
      </c>
      <c r="C51">
        <v>1238.6179999999999</v>
      </c>
      <c r="D51">
        <f t="shared" si="1"/>
        <v>1.9295369396736379</v>
      </c>
      <c r="E51">
        <f t="shared" si="2"/>
        <v>0.27805592069166962</v>
      </c>
      <c r="F51">
        <f t="shared" si="3"/>
        <v>0.16222978053610981</v>
      </c>
      <c r="G51">
        <f t="shared" si="4"/>
        <v>162.22978053610981</v>
      </c>
    </row>
    <row r="52" spans="1:7" x14ac:dyDescent="0.25">
      <c r="A52" s="57"/>
      <c r="B52">
        <v>20</v>
      </c>
      <c r="C52">
        <v>719</v>
      </c>
      <c r="D52">
        <f t="shared" si="1"/>
        <v>1.1200685438330025</v>
      </c>
      <c r="E52">
        <f t="shared" si="2"/>
        <v>0.16140747750905482</v>
      </c>
      <c r="F52">
        <f t="shared" si="3"/>
        <v>9.4172062900315476E-2</v>
      </c>
      <c r="G52">
        <f t="shared" si="4"/>
        <v>94.172062900315481</v>
      </c>
    </row>
    <row r="53" spans="1:7" x14ac:dyDescent="0.25">
      <c r="A53" s="57"/>
      <c r="B53">
        <v>21</v>
      </c>
      <c r="C53">
        <v>20.143999999999998</v>
      </c>
      <c r="D53">
        <f t="shared" si="1"/>
        <v>3.1380612999961054E-2</v>
      </c>
      <c r="E53">
        <f t="shared" si="2"/>
        <v>4.5221032363593882E-3</v>
      </c>
      <c r="F53">
        <f t="shared" si="3"/>
        <v>2.6383894785312308E-3</v>
      </c>
      <c r="G53">
        <f t="shared" si="4"/>
        <v>2.6383894785312307</v>
      </c>
    </row>
    <row r="54" spans="1:7" x14ac:dyDescent="0.25">
      <c r="A54" s="57"/>
      <c r="B54">
        <v>22</v>
      </c>
      <c r="C54">
        <v>0</v>
      </c>
      <c r="D54">
        <f t="shared" si="1"/>
        <v>0</v>
      </c>
      <c r="E54">
        <f t="shared" si="2"/>
        <v>0</v>
      </c>
      <c r="F54">
        <f t="shared" si="3"/>
        <v>0</v>
      </c>
      <c r="G54">
        <f t="shared" si="4"/>
        <v>0</v>
      </c>
    </row>
    <row r="55" spans="1:7" x14ac:dyDescent="0.25">
      <c r="A55" s="57"/>
      <c r="B55">
        <v>23</v>
      </c>
      <c r="C55">
        <v>0</v>
      </c>
      <c r="D55">
        <f t="shared" si="1"/>
        <v>0</v>
      </c>
      <c r="E55">
        <f t="shared" si="2"/>
        <v>0</v>
      </c>
      <c r="F55">
        <f t="shared" si="3"/>
        <v>0</v>
      </c>
      <c r="G55">
        <f t="shared" si="4"/>
        <v>0</v>
      </c>
    </row>
    <row r="56" spans="1:7" x14ac:dyDescent="0.25">
      <c r="A56" s="57"/>
      <c r="B56">
        <v>24</v>
      </c>
      <c r="C56">
        <v>0</v>
      </c>
      <c r="D56">
        <f t="shared" si="1"/>
        <v>0</v>
      </c>
      <c r="E56">
        <f t="shared" si="2"/>
        <v>0</v>
      </c>
      <c r="F56">
        <f t="shared" si="3"/>
        <v>0</v>
      </c>
      <c r="G56">
        <f t="shared" si="4"/>
        <v>0</v>
      </c>
    </row>
    <row r="57" spans="1:7" x14ac:dyDescent="0.25">
      <c r="A57" s="57"/>
      <c r="B57" t="s">
        <v>206</v>
      </c>
      <c r="C57">
        <v>7789.9260000000004</v>
      </c>
      <c r="D57">
        <f t="shared" si="1"/>
        <v>12.135258791914945</v>
      </c>
      <c r="E57">
        <f t="shared" si="2"/>
        <v>1.7487514682089031</v>
      </c>
      <c r="F57">
        <f t="shared" si="3"/>
        <v>1.0202968028662072</v>
      </c>
      <c r="G57">
        <f t="shared" si="4"/>
        <v>1020.2968028662071</v>
      </c>
    </row>
    <row r="58" spans="1:7" x14ac:dyDescent="0.25">
      <c r="A58" s="57"/>
      <c r="C58" s="58"/>
    </row>
    <row r="59" spans="1:7" x14ac:dyDescent="0.25">
      <c r="A59" s="57"/>
    </row>
    <row r="60" spans="1:7" x14ac:dyDescent="0.25">
      <c r="A60" s="57"/>
    </row>
    <row r="61" spans="1:7" x14ac:dyDescent="0.25">
      <c r="A61" s="57"/>
    </row>
    <row r="62" spans="1:7" x14ac:dyDescent="0.25">
      <c r="A62" s="57"/>
    </row>
    <row r="63" spans="1:7" x14ac:dyDescent="0.25">
      <c r="A63" s="57"/>
    </row>
    <row r="64" spans="1:7" x14ac:dyDescent="0.25">
      <c r="A64" s="57"/>
    </row>
  </sheetData>
  <mergeCells count="1">
    <mergeCell ref="J5:Q5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Figure_4_overall</vt:lpstr>
      <vt:lpstr>C_data</vt:lpstr>
      <vt:lpstr>PHA_assay</vt:lpstr>
      <vt:lpstr>N_assay</vt:lpstr>
      <vt:lpstr>Figure_5</vt:lpstr>
      <vt:lpstr>PHA_assay _flask_exp</vt:lpstr>
      <vt:lpstr>N_assay_flask_exp</vt:lpstr>
      <vt:lpstr>C_data_flask_exp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KARTHIKA BALUSAMY</dc:creator>
  <cp:lastModifiedBy>Karthika Balusamy</cp:lastModifiedBy>
  <dcterms:created xsi:type="dcterms:W3CDTF">2015-06-05T18:17:20Z</dcterms:created>
  <dcterms:modified xsi:type="dcterms:W3CDTF">2024-08-23T16:43:11Z</dcterms:modified>
</cp:coreProperties>
</file>