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285" windowWidth="23595" windowHeight="12015" firstSheet="4" activeTab="8"/>
  </bookViews>
  <sheets>
    <sheet name="medium setup" sheetId="1" r:id="rId1"/>
    <sheet name="other media components" sheetId="2" r:id="rId2"/>
    <sheet name="faecalis inoculation 1" sheetId="3" r:id="rId3"/>
    <sheet name="faecalis inoculation 2" sheetId="4" r:id="rId4"/>
    <sheet name="faecalis inoculation 3" sheetId="5" r:id="rId5"/>
    <sheet name="faecalis inoculation 4" sheetId="8" r:id="rId6"/>
    <sheet name="faecalis inoculation 5" sheetId="10" r:id="rId7"/>
    <sheet name="validation with media filipe" sheetId="7" r:id="rId8"/>
    <sheet name="summary" sheetId="6" r:id="rId9"/>
    <sheet name="continuous passaging" sheetId="9" r:id="rId10"/>
    <sheet name="validation GLY_SER" sheetId="11" r:id="rId11"/>
  </sheets>
  <calcPr calcId="145621"/>
</workbook>
</file>

<file path=xl/calcChain.xml><?xml version="1.0" encoding="utf-8"?>
<calcChain xmlns="http://schemas.openxmlformats.org/spreadsheetml/2006/main">
  <c r="H14" i="11" l="1"/>
  <c r="H13" i="11"/>
  <c r="H12" i="11"/>
  <c r="H11" i="11"/>
  <c r="H10" i="11"/>
  <c r="H9" i="11"/>
  <c r="H8" i="11"/>
  <c r="H7" i="11"/>
  <c r="G14" i="11"/>
  <c r="G13" i="11"/>
  <c r="G12" i="11"/>
  <c r="G11" i="11"/>
  <c r="G10" i="11"/>
  <c r="G9" i="11"/>
  <c r="G8" i="11"/>
  <c r="G7" i="11"/>
  <c r="F14" i="11"/>
  <c r="F13" i="11"/>
  <c r="F12" i="11"/>
  <c r="F11" i="11"/>
  <c r="F10" i="11"/>
  <c r="F9" i="11"/>
  <c r="F8" i="11"/>
  <c r="F7" i="11"/>
  <c r="E14" i="11"/>
  <c r="E13" i="11"/>
  <c r="E11" i="11"/>
  <c r="E12" i="11"/>
  <c r="E10" i="11"/>
  <c r="E9" i="11"/>
  <c r="E8" i="11"/>
  <c r="E7" i="11"/>
  <c r="D14" i="11"/>
  <c r="D13" i="11"/>
  <c r="D12" i="11"/>
  <c r="D11" i="11"/>
  <c r="D10" i="11"/>
  <c r="D9" i="11"/>
  <c r="D8" i="11"/>
  <c r="D7" i="11"/>
  <c r="R28" i="9"/>
  <c r="R14" i="9"/>
  <c r="R16" i="9"/>
  <c r="R13" i="9"/>
  <c r="I12" i="8"/>
  <c r="I13" i="8"/>
  <c r="I14" i="8"/>
  <c r="I11" i="8"/>
  <c r="I10" i="8"/>
  <c r="P28" i="9"/>
  <c r="P16" i="9"/>
  <c r="P14" i="9"/>
  <c r="P13" i="9"/>
  <c r="N28" i="9"/>
  <c r="N27" i="9"/>
  <c r="N25" i="9"/>
  <c r="N23" i="9"/>
  <c r="N18" i="9"/>
  <c r="N16" i="9"/>
  <c r="N15" i="9"/>
  <c r="N14" i="9"/>
  <c r="N13" i="9"/>
  <c r="N6" i="9"/>
  <c r="W31" i="9"/>
  <c r="L31" i="9"/>
  <c r="G30" i="9"/>
  <c r="G5" i="9"/>
  <c r="G7" i="9"/>
  <c r="G8" i="9"/>
  <c r="G9" i="9"/>
  <c r="G10" i="9"/>
  <c r="G11" i="9"/>
  <c r="G12" i="9"/>
  <c r="G17" i="9"/>
  <c r="G19" i="9"/>
  <c r="G20" i="9"/>
  <c r="G21" i="9"/>
  <c r="G22" i="9"/>
  <c r="G24" i="9"/>
  <c r="G26" i="9"/>
  <c r="G29" i="9"/>
  <c r="G4" i="9"/>
  <c r="E30" i="9"/>
  <c r="E21" i="9"/>
  <c r="E17" i="9"/>
  <c r="E5" i="9"/>
  <c r="E7" i="9"/>
  <c r="E8" i="9"/>
  <c r="E9" i="9"/>
  <c r="E10" i="9"/>
  <c r="E11" i="9"/>
  <c r="E12" i="9"/>
  <c r="E19" i="9"/>
  <c r="E20" i="9"/>
  <c r="E22" i="9"/>
  <c r="E24" i="9"/>
  <c r="E26" i="9"/>
  <c r="E29" i="9"/>
  <c r="E4" i="9"/>
  <c r="K29" i="6"/>
  <c r="K26" i="6"/>
  <c r="K24" i="6"/>
  <c r="K19" i="6"/>
  <c r="K15" i="6"/>
  <c r="K16" i="6"/>
  <c r="K17" i="6"/>
  <c r="K14" i="6"/>
  <c r="K7" i="6"/>
  <c r="K5" i="6"/>
  <c r="K6" i="6"/>
  <c r="K8" i="6"/>
  <c r="K9" i="6"/>
  <c r="K10" i="6"/>
  <c r="K11" i="6"/>
  <c r="K12" i="6"/>
  <c r="K13" i="6"/>
  <c r="K18" i="6"/>
  <c r="K20" i="6"/>
  <c r="K21" i="6"/>
  <c r="K22" i="6"/>
  <c r="K23" i="6"/>
  <c r="K25" i="6"/>
  <c r="K27" i="6"/>
  <c r="K28" i="6"/>
  <c r="K30" i="6"/>
  <c r="K31" i="6"/>
  <c r="K32" i="6"/>
  <c r="J29" i="6"/>
  <c r="J26" i="6"/>
  <c r="J24" i="6"/>
  <c r="J19" i="6"/>
  <c r="J17" i="6"/>
  <c r="J16" i="6"/>
  <c r="J15" i="6"/>
  <c r="J14" i="6"/>
  <c r="J7" i="6"/>
  <c r="J5" i="6"/>
  <c r="F26" i="7"/>
  <c r="F19" i="7"/>
  <c r="F11" i="7"/>
  <c r="F12" i="7"/>
  <c r="F13" i="7"/>
  <c r="F14" i="7"/>
  <c r="F15" i="7"/>
  <c r="F17" i="7"/>
  <c r="F18" i="7"/>
  <c r="F20" i="7"/>
  <c r="F21" i="7"/>
  <c r="F22" i="7"/>
  <c r="F23" i="7"/>
  <c r="F24" i="7"/>
  <c r="F25" i="7"/>
  <c r="F27" i="7"/>
  <c r="F28" i="7"/>
  <c r="F29" i="7"/>
  <c r="F30" i="7"/>
  <c r="F31" i="7"/>
  <c r="F10" i="7"/>
  <c r="F15" i="5"/>
  <c r="F10" i="5"/>
  <c r="F11" i="5"/>
  <c r="F12" i="5"/>
  <c r="F13" i="5"/>
  <c r="F14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9" i="5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29" i="4"/>
  <c r="F30" i="4"/>
  <c r="F31" i="4"/>
  <c r="F32" i="4"/>
  <c r="F33" i="4"/>
  <c r="F34" i="4"/>
  <c r="F35" i="4"/>
  <c r="F36" i="4"/>
  <c r="F37" i="4"/>
  <c r="F38" i="4"/>
  <c r="F39" i="4"/>
  <c r="F12" i="4"/>
  <c r="J32" i="6"/>
  <c r="J31" i="6"/>
  <c r="J30" i="6"/>
  <c r="J28" i="6"/>
  <c r="J27" i="6"/>
  <c r="J25" i="6"/>
  <c r="J23" i="6"/>
  <c r="J22" i="6"/>
  <c r="J21" i="6"/>
  <c r="J20" i="6"/>
  <c r="J18" i="6"/>
  <c r="J13" i="6"/>
  <c r="J12" i="6"/>
  <c r="J11" i="6"/>
  <c r="J10" i="6"/>
  <c r="J9" i="6"/>
  <c r="J8" i="6"/>
  <c r="J6" i="6"/>
  <c r="J38" i="3"/>
  <c r="J37" i="3"/>
  <c r="J36" i="3"/>
  <c r="J35" i="3"/>
  <c r="J34" i="3"/>
  <c r="J33" i="3"/>
  <c r="J32" i="3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H8" i="2"/>
  <c r="B33" i="1"/>
  <c r="B34" i="1"/>
  <c r="C33" i="1"/>
  <c r="C34" i="1"/>
  <c r="D33" i="1"/>
  <c r="D34" i="1"/>
  <c r="E33" i="1"/>
  <c r="E34" i="1"/>
  <c r="F33" i="1"/>
  <c r="F34" i="1"/>
  <c r="G33" i="1"/>
  <c r="G34" i="1"/>
  <c r="H34" i="1"/>
  <c r="I33" i="1"/>
  <c r="I34" i="1"/>
  <c r="J33" i="1"/>
  <c r="J34" i="1"/>
  <c r="K33" i="1"/>
  <c r="K34" i="1"/>
  <c r="L33" i="1"/>
  <c r="L34" i="1"/>
  <c r="N33" i="1"/>
  <c r="N34" i="1"/>
  <c r="O33" i="1"/>
  <c r="O34" i="1"/>
  <c r="P33" i="1"/>
  <c r="P34" i="1"/>
  <c r="Q33" i="1"/>
  <c r="Q34" i="1"/>
  <c r="R33" i="1"/>
  <c r="R34" i="1"/>
  <c r="S33" i="1"/>
  <c r="S34" i="1"/>
  <c r="T33" i="1"/>
  <c r="T34" i="1"/>
  <c r="U33" i="1"/>
  <c r="U34" i="1"/>
  <c r="V33" i="1"/>
  <c r="V34" i="1"/>
  <c r="W33" i="1"/>
  <c r="W34" i="1"/>
  <c r="X33" i="1"/>
  <c r="X34" i="1"/>
  <c r="Z33" i="1"/>
  <c r="Z34" i="1"/>
  <c r="AA33" i="1"/>
  <c r="AA34" i="1"/>
  <c r="AB33" i="1"/>
  <c r="AB34" i="1"/>
  <c r="AC33" i="1"/>
  <c r="AC34" i="1"/>
  <c r="AD33" i="1"/>
  <c r="AD34" i="1"/>
  <c r="AG34" i="1"/>
  <c r="AE33" i="1"/>
  <c r="AE34" i="1"/>
  <c r="AG33" i="1"/>
  <c r="AG32" i="1"/>
  <c r="AG31" i="1"/>
  <c r="AG30" i="1"/>
  <c r="AG29" i="1"/>
  <c r="AG28" i="1"/>
  <c r="AG27" i="1"/>
  <c r="AG26" i="1"/>
  <c r="AG25" i="1"/>
  <c r="AG24" i="1"/>
  <c r="AG23" i="1"/>
  <c r="AG22" i="1"/>
  <c r="AG21" i="1"/>
  <c r="AG20" i="1"/>
  <c r="AG19" i="1"/>
  <c r="AG18" i="1"/>
  <c r="AG17" i="1"/>
  <c r="AG16" i="1"/>
  <c r="AG15" i="1"/>
  <c r="AG14" i="1"/>
  <c r="AG13" i="1"/>
  <c r="AG12" i="1"/>
  <c r="AG11" i="1"/>
  <c r="AG10" i="1"/>
  <c r="AG9" i="1"/>
  <c r="AG8" i="1"/>
  <c r="AG7" i="1"/>
  <c r="AG6" i="1"/>
  <c r="AG5" i="1"/>
</calcChain>
</file>

<file path=xl/comments1.xml><?xml version="1.0" encoding="utf-8"?>
<comments xmlns="http://schemas.openxmlformats.org/spreadsheetml/2006/main">
  <authors>
    <author>Filipe Santos</author>
  </authors>
  <commentList>
    <comment ref="A16" authorId="0">
      <text>
        <r>
          <rPr>
            <b/>
            <sz val="9"/>
            <color indexed="81"/>
            <rFont val="Calibri"/>
            <family val="2"/>
          </rPr>
          <t>Filipe Santos:</t>
        </r>
        <r>
          <rPr>
            <sz val="9"/>
            <color indexed="81"/>
            <rFont val="Calibri"/>
            <family val="2"/>
          </rPr>
          <t xml:space="preserve">
Dissolved in 0.3 M HCl according to notes from previous experimentalists in SYSMO-LAB1
</t>
        </r>
      </text>
    </comment>
    <comment ref="M17" authorId="0">
      <text>
        <r>
          <rPr>
            <b/>
            <sz val="9"/>
            <color indexed="81"/>
            <rFont val="Calibri"/>
            <family val="2"/>
          </rPr>
          <t>Filipe Santos:</t>
        </r>
        <r>
          <rPr>
            <sz val="9"/>
            <color indexed="81"/>
            <rFont val="Calibri"/>
            <family val="2"/>
          </rPr>
          <t xml:space="preserve">
Guanine was provided as guanine-HCl (Sigma G-6263) but this product has been discontinued. Amount added in stock has been adjusted based on MW of new proposed source.</t>
        </r>
      </text>
    </comment>
  </commentList>
</comments>
</file>

<file path=xl/sharedStrings.xml><?xml version="1.0" encoding="utf-8"?>
<sst xmlns="http://schemas.openxmlformats.org/spreadsheetml/2006/main" count="841" uniqueCount="272">
  <si>
    <t>Medium preparation  (all separate media are prepared using the same stock solutions)</t>
  </si>
  <si>
    <t>CDM</t>
  </si>
  <si>
    <t>CDM1</t>
  </si>
  <si>
    <t>CDM2</t>
  </si>
  <si>
    <t>CDM3</t>
  </si>
  <si>
    <t>CDM4</t>
  </si>
  <si>
    <t>CDM5</t>
  </si>
  <si>
    <t>CDM6</t>
  </si>
  <si>
    <t>CDM7</t>
  </si>
  <si>
    <t>CDM8</t>
  </si>
  <si>
    <t>CDM9</t>
  </si>
  <si>
    <t>CDM10</t>
  </si>
  <si>
    <t>CDM11</t>
  </si>
  <si>
    <t>CDM12</t>
  </si>
  <si>
    <t>CDM13</t>
  </si>
  <si>
    <t>CDM14</t>
  </si>
  <si>
    <t>CDM15</t>
  </si>
  <si>
    <t>CDM16</t>
  </si>
  <si>
    <t>CDM17</t>
  </si>
  <si>
    <t>CDM18</t>
  </si>
  <si>
    <t>CDM19</t>
  </si>
  <si>
    <t>CDM20</t>
  </si>
  <si>
    <t>CDM21</t>
  </si>
  <si>
    <t>CDM22</t>
  </si>
  <si>
    <t>CDM23</t>
  </si>
  <si>
    <t>CDM24</t>
  </si>
  <si>
    <t>CDM25</t>
  </si>
  <si>
    <t>CDM26</t>
  </si>
  <si>
    <t>CDM27</t>
  </si>
  <si>
    <t xml:space="preserve">total amount </t>
  </si>
  <si>
    <t>all amino acids</t>
  </si>
  <si>
    <t>ala</t>
  </si>
  <si>
    <t>arg</t>
  </si>
  <si>
    <t>asn</t>
  </si>
  <si>
    <t>asp</t>
  </si>
  <si>
    <t>cys</t>
  </si>
  <si>
    <t>cyn</t>
  </si>
  <si>
    <t>glu</t>
  </si>
  <si>
    <t>gln</t>
  </si>
  <si>
    <t>gly</t>
  </si>
  <si>
    <t>his</t>
  </si>
  <si>
    <t>ile</t>
  </si>
  <si>
    <t>leu</t>
  </si>
  <si>
    <t>lys</t>
  </si>
  <si>
    <t>met</t>
  </si>
  <si>
    <t>phe</t>
  </si>
  <si>
    <t>pro</t>
  </si>
  <si>
    <t>ser</t>
  </si>
  <si>
    <t>thr</t>
  </si>
  <si>
    <t>try</t>
  </si>
  <si>
    <t>tyr</t>
  </si>
  <si>
    <t>val</t>
  </si>
  <si>
    <t>cys/cyn</t>
  </si>
  <si>
    <t>gln/glu</t>
  </si>
  <si>
    <t>gly/ser</t>
  </si>
  <si>
    <t>asn/asp</t>
  </si>
  <si>
    <t>cys/cyn/ser</t>
  </si>
  <si>
    <t>no AA</t>
  </si>
  <si>
    <t>Sums</t>
  </si>
  <si>
    <t>Basal Solution 4*</t>
  </si>
  <si>
    <t>Basal Solution 2*</t>
  </si>
  <si>
    <t>AGU mix 50*</t>
  </si>
  <si>
    <t>hydroxide (xanth HCO3)</t>
  </si>
  <si>
    <t>100*vitamin solution</t>
  </si>
  <si>
    <t>100*metal solution</t>
  </si>
  <si>
    <t>alanine*100</t>
  </si>
  <si>
    <t>arginine*100</t>
  </si>
  <si>
    <t>asparagine*100</t>
  </si>
  <si>
    <t>aspartic acid*10</t>
  </si>
  <si>
    <t>cysteïne-HCl*100</t>
  </si>
  <si>
    <t>cystine*40</t>
  </si>
  <si>
    <t>glutamate*10</t>
  </si>
  <si>
    <t>glutamine*100</t>
  </si>
  <si>
    <t>glycine*100</t>
  </si>
  <si>
    <t>histidine*100</t>
  </si>
  <si>
    <t>isoleucine*100</t>
  </si>
  <si>
    <t>leucine*25</t>
  </si>
  <si>
    <t>lysine*100</t>
  </si>
  <si>
    <t>methionine*100</t>
  </si>
  <si>
    <t>phenylalanine*50</t>
  </si>
  <si>
    <t>proline*100</t>
  </si>
  <si>
    <t>serine*100</t>
  </si>
  <si>
    <t>threonine*100</t>
  </si>
  <si>
    <t>tryptophane*100</t>
  </si>
  <si>
    <t>tyrosine*100</t>
  </si>
  <si>
    <t>valine*100</t>
  </si>
  <si>
    <t>2.5M NaOH</t>
  </si>
  <si>
    <t>2M HCl</t>
  </si>
  <si>
    <t>pH adjust</t>
  </si>
  <si>
    <t>Total</t>
  </si>
  <si>
    <t>3 separate growth experiments performed on 3 consecutive days</t>
  </si>
  <si>
    <t>washed in PBS (2x)</t>
  </si>
  <si>
    <t>resuspended in PBS</t>
  </si>
  <si>
    <t>grown at 37oC in closed 15 ml standing tubes</t>
  </si>
  <si>
    <t>final OD measured (final OD was reached in all cultures at &lt;24 hours after inoculation)</t>
  </si>
  <si>
    <t>Enterococcus faecalis precultured in THY-medium</t>
  </si>
  <si>
    <t>1st inoculation: E. faecalis in PBS used to inoculate 3 ml of the different CDM media (inoculated with start-OD600 approx 0.03)</t>
  </si>
  <si>
    <t>stock</t>
  </si>
  <si>
    <t>Solvent</t>
  </si>
  <si>
    <t>Fold-concentration (x)</t>
  </si>
  <si>
    <t>Compound</t>
  </si>
  <si>
    <t>MW (mg/mmol)</t>
  </si>
  <si>
    <t>CAS</t>
  </si>
  <si>
    <t>Stock (g/L)</t>
  </si>
  <si>
    <t>Final (mg/L)</t>
  </si>
  <si>
    <t>Final (mM)</t>
  </si>
  <si>
    <t>UR</t>
  </si>
  <si>
    <t>formula / syn</t>
  </si>
  <si>
    <t>note</t>
  </si>
  <si>
    <t>Ams</t>
  </si>
  <si>
    <t>UvA number !</t>
  </si>
  <si>
    <t>PCA buffer</t>
  </si>
  <si>
    <t>water</t>
  </si>
  <si>
    <t>K2HPO4</t>
  </si>
  <si>
    <t>7758-11-4</t>
  </si>
  <si>
    <t>Roth P749</t>
  </si>
  <si>
    <t>Potassium phosphate dibasic</t>
  </si>
  <si>
    <t>Merck 1.05104 / Sigma P3786</t>
  </si>
  <si>
    <t>K70</t>
  </si>
  <si>
    <t>KH2PO4</t>
  </si>
  <si>
    <t xml:space="preserve">7778-77-0 </t>
  </si>
  <si>
    <t>Merck 1.04873</t>
  </si>
  <si>
    <t xml:space="preserve">Potassium phosphate monobasic </t>
  </si>
  <si>
    <t>Merck 1.04873 / Sigma P5655</t>
  </si>
  <si>
    <t>K74</t>
  </si>
  <si>
    <t>NH3 citrate</t>
  </si>
  <si>
    <t>3458-72-8</t>
  </si>
  <si>
    <t>Sigma A-1332</t>
  </si>
  <si>
    <t>NH3 citrate tribasic</t>
  </si>
  <si>
    <t>A97</t>
  </si>
  <si>
    <t>Na-acetate</t>
  </si>
  <si>
    <t xml:space="preserve">127-09-3 </t>
  </si>
  <si>
    <t>Merck 1.06268</t>
  </si>
  <si>
    <t>Sodium acetate anhydrous</t>
  </si>
  <si>
    <t>Merck 1.06268 / Sigma S2889</t>
  </si>
  <si>
    <t>N21</t>
  </si>
  <si>
    <t>alternative sugar</t>
  </si>
  <si>
    <t>glucose monohydrate</t>
  </si>
  <si>
    <t xml:space="preserve">14431-43-7 </t>
  </si>
  <si>
    <t>D-(+)-Glucose monohydrate</t>
  </si>
  <si>
    <t>49159 Fluka</t>
  </si>
  <si>
    <t>vitamin</t>
  </si>
  <si>
    <t>ascorbate</t>
  </si>
  <si>
    <t>50-81-7</t>
  </si>
  <si>
    <t>A5960</t>
  </si>
  <si>
    <t>L-ascorbic acid, Vitamin C</t>
  </si>
  <si>
    <t>A212</t>
  </si>
  <si>
    <t>agu</t>
  </si>
  <si>
    <t>2 M HCl</t>
  </si>
  <si>
    <t>Adenine</t>
  </si>
  <si>
    <t>73-24-5</t>
  </si>
  <si>
    <t>Sigma A-2786</t>
  </si>
  <si>
    <t>A14</t>
  </si>
  <si>
    <t>Guanine</t>
  </si>
  <si>
    <t>73-40-5</t>
  </si>
  <si>
    <t>Sigma G-11950</t>
  </si>
  <si>
    <t>G134</t>
  </si>
  <si>
    <t>Uracil</t>
  </si>
  <si>
    <t>66-22-8</t>
  </si>
  <si>
    <t>Sigma U-1128</t>
  </si>
  <si>
    <t>U6</t>
  </si>
  <si>
    <t>hydroxide 20*</t>
  </si>
  <si>
    <t>hydroxide</t>
  </si>
  <si>
    <t>0.6 M NaOH</t>
  </si>
  <si>
    <t>xanthine</t>
  </si>
  <si>
    <t xml:space="preserve">69-89-6 </t>
  </si>
  <si>
    <t>Sigma X-7375</t>
  </si>
  <si>
    <t>X7</t>
  </si>
  <si>
    <t>Na bicarbonate</t>
  </si>
  <si>
    <t xml:space="preserve">144-55-8 </t>
  </si>
  <si>
    <t>Merck 1.06329</t>
  </si>
  <si>
    <t>Na H carbonate</t>
  </si>
  <si>
    <t>dissolve in NaOH to make sure CO2 stays in solution</t>
  </si>
  <si>
    <t>Sigma S5761</t>
  </si>
  <si>
    <t>N24</t>
  </si>
  <si>
    <t>according to protocols</t>
  </si>
  <si>
    <t>grown at 37oC in 15 ml standing tubes</t>
  </si>
  <si>
    <t>measured value (5x diluted !)</t>
  </si>
  <si>
    <t>OD600 corrected for dilution</t>
  </si>
  <si>
    <t>omission</t>
  </si>
  <si>
    <t>CDM complete</t>
  </si>
  <si>
    <t>full medium</t>
  </si>
  <si>
    <t>CDM 1</t>
  </si>
  <si>
    <t>CDM 2</t>
  </si>
  <si>
    <t>CDM 3</t>
  </si>
  <si>
    <t>CDM 4</t>
  </si>
  <si>
    <t>CDM 5</t>
  </si>
  <si>
    <t>CDM 6</t>
  </si>
  <si>
    <t>CDM 7</t>
  </si>
  <si>
    <t>CDM 8</t>
  </si>
  <si>
    <t>CDM 9</t>
  </si>
  <si>
    <t>CDM 10</t>
  </si>
  <si>
    <t>CDM 11</t>
  </si>
  <si>
    <t>CDM 12</t>
  </si>
  <si>
    <t>CDM 13</t>
  </si>
  <si>
    <t>CDM 14</t>
  </si>
  <si>
    <t>CDM 15</t>
  </si>
  <si>
    <t>CDM 16</t>
  </si>
  <si>
    <t>CDM 17</t>
  </si>
  <si>
    <t>CDM 18</t>
  </si>
  <si>
    <t>CDM 19</t>
  </si>
  <si>
    <t>CDM 20</t>
  </si>
  <si>
    <t>CDM 21</t>
  </si>
  <si>
    <t>CDM 22</t>
  </si>
  <si>
    <t>CDM 23</t>
  </si>
  <si>
    <t>glu/gln</t>
  </si>
  <si>
    <t>CDM 24</t>
  </si>
  <si>
    <t>CDM 25</t>
  </si>
  <si>
    <t>CDM 26</t>
  </si>
  <si>
    <t>CDM 27</t>
  </si>
  <si>
    <t>no amino acids</t>
  </si>
  <si>
    <t>inoculated on May 30th 2012</t>
  </si>
  <si>
    <t>Enterococcus faecalis precultured in THY-medium (2 x 10 ml)</t>
  </si>
  <si>
    <t>resuspended in 10 ml PBS (final OD 4.0)</t>
  </si>
  <si>
    <t>30 ul of S. pyogenes in PBS used to inoculate 3 ml of the different CDM media</t>
  </si>
  <si>
    <t>OD measured in 5x dilutions (200 ul culture, 800 ul fysiological salt)</t>
  </si>
  <si>
    <t>OD600 @ 23 hours</t>
  </si>
  <si>
    <t>average OD600</t>
  </si>
  <si>
    <t>st. dev.</t>
  </si>
  <si>
    <t>1st exp</t>
  </si>
  <si>
    <t>2nd exp</t>
  </si>
  <si>
    <t>3th exp</t>
  </si>
  <si>
    <t>OD600 @  hours</t>
  </si>
  <si>
    <t>E. faecalis</t>
  </si>
  <si>
    <t>2nd inoculation: cells from the first inoculation in CDM 0-27 were used to inoculate the different CDM media (start OD 0.03), in case final OD600 from the first inoculation was &lt;0,5, cells grown in complete CDM (=CDM0) were used for inoculation</t>
  </si>
  <si>
    <t>3rd inoculation: cells from the second inoculation in CDM 0-27 were used to inoculate the different CDM media (start OD 0.03), in case final OD600 from the second inoculation was &lt;0.5, cells grown in complete CDM (=CDM0) were used for inoculation</t>
  </si>
  <si>
    <t>inoculated on May 31th 2012</t>
  </si>
  <si>
    <t>Enterococcus faecalis taken from respective CDM medium first inoculation</t>
  </si>
  <si>
    <t>60 or 100 ul of E. faecalis used to inoculate 3 ml of the different CDM media</t>
  </si>
  <si>
    <t>in case in first inoculation final OD&lt;0.5, new inoculations were performed from complete CDM (=CDM0)</t>
  </si>
  <si>
    <t>all inoculations grew, because of residuals in the complete CDM with which they were inoculated !! (60 ul in 3 ml)</t>
  </si>
  <si>
    <t>therefore these OD's are not reliable for the "essential" amino acids, but the 3th inoculation and the validation with filipe's medium could be done with these partly grown cultures….</t>
  </si>
  <si>
    <t>OD600 5x diluted</t>
  </si>
  <si>
    <t>OD600</t>
  </si>
  <si>
    <t>inoculated on June 2nd 2012</t>
  </si>
  <si>
    <t>Enterococcus faecalis taken from respective CDM medium second inoculation</t>
  </si>
  <si>
    <t>which all grew (1/50th of complete CDM present)</t>
  </si>
  <si>
    <t>media Filipe</t>
  </si>
  <si>
    <t>4th exp</t>
  </si>
  <si>
    <t>Confirmation using media Filipe Santos (media made dec 2011)</t>
  </si>
  <si>
    <t>OD600 2,5x diluted</t>
  </si>
  <si>
    <t>proline sample by mistake 4 times diluted for OD measurement</t>
  </si>
  <si>
    <t>OD 600</t>
  </si>
  <si>
    <t>5th exp</t>
  </si>
  <si>
    <t>inoculated from THY (washed cells)</t>
  </si>
  <si>
    <t>inoculated from resp. CDM or complete CDM non-washed</t>
  </si>
  <si>
    <t>inoculated from respecitve CDM non washed</t>
  </si>
  <si>
    <t>continuous subculturing</t>
  </si>
  <si>
    <t>subculturing to media Filipe (24-48 hours)</t>
  </si>
  <si>
    <t xml:space="preserve">subculturing to identical media (24-48 hours), </t>
  </si>
  <si>
    <t>inoculated at t=0 with 60 ul unwashed cells in CDM complete (hence initial growth)</t>
  </si>
  <si>
    <t>inoculated at t=0 with washed cells precultured in THY medium</t>
  </si>
  <si>
    <t xml:space="preserve">inoculated at t=0 with 60 ul depleted cells (inoculation 2 @ 24h) </t>
  </si>
  <si>
    <t>inoculated on June 4th 2012</t>
  </si>
  <si>
    <t>inoculated on June 1st 2012</t>
  </si>
  <si>
    <t>Enterococcus faecalis taken from respective CDM medium third inoculation</t>
  </si>
  <si>
    <t>OD measured in undiluted</t>
  </si>
  <si>
    <t>OD600 PBS blanc</t>
  </si>
  <si>
    <t>OD600 CDM27 blanc</t>
  </si>
  <si>
    <t>no visual growth (by eye)</t>
  </si>
  <si>
    <t>continuous subculturing (validation ARG / ASN / GLY )</t>
  </si>
  <si>
    <t>Koen van Grinsven (UvA)</t>
  </si>
  <si>
    <t>time (h)</t>
  </si>
  <si>
    <t>ARG</t>
  </si>
  <si>
    <t>HIS</t>
  </si>
  <si>
    <t>ILE</t>
  </si>
  <si>
    <t>LEU</t>
  </si>
  <si>
    <t>MET</t>
  </si>
  <si>
    <t>TRY</t>
  </si>
  <si>
    <t>VAL</t>
  </si>
  <si>
    <t>GLU/GLN</t>
  </si>
  <si>
    <r>
      <rPr>
        <b/>
        <sz val="11"/>
        <color rgb="FFFF0000"/>
        <rFont val="Calibri"/>
        <family val="2"/>
        <scheme val="minor"/>
      </rPr>
      <t>OD's in red</t>
    </r>
    <r>
      <rPr>
        <b/>
        <sz val="11"/>
        <color theme="1"/>
        <rFont val="Calibri"/>
        <family val="2"/>
        <scheme val="minor"/>
      </rPr>
      <t xml:space="preserve"> are not representative, since these cultures were inoculated with 60 ul of unwashed faecalis from CDM complete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</si>
</sst>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2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9"/>
      <color indexed="81"/>
      <name val="Calibri"/>
      <family val="2"/>
    </font>
    <font>
      <sz val="9"/>
      <color indexed="81"/>
      <name val="Calibri"/>
      <family val="2"/>
    </font>
    <font>
      <b/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/>
    <xf numFmtId="0" fontId="5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2" borderId="0" xfId="0" applyFont="1" applyFill="1"/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11" fillId="0" borderId="0" xfId="0" applyFont="1"/>
    <xf numFmtId="0" fontId="7" fillId="2" borderId="0" xfId="0" applyFont="1" applyFill="1" applyAlignment="1">
      <alignment horizontal="center"/>
    </xf>
    <xf numFmtId="0" fontId="2" fillId="0" borderId="0" xfId="0" applyFont="1"/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12" fillId="0" borderId="0" xfId="0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49" fontId="13" fillId="0" borderId="1" xfId="0" applyNumberFormat="1" applyFont="1" applyBorder="1" applyAlignment="1">
      <alignment horizontal="center"/>
    </xf>
    <xf numFmtId="164" fontId="12" fillId="0" borderId="1" xfId="0" applyNumberFormat="1" applyFont="1" applyBorder="1" applyAlignment="1">
      <alignment horizontal="center"/>
    </xf>
    <xf numFmtId="0" fontId="13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0" fontId="14" fillId="3" borderId="1" xfId="0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/>
    </xf>
    <xf numFmtId="2" fontId="14" fillId="3" borderId="1" xfId="0" applyNumberFormat="1" applyFont="1" applyFill="1" applyBorder="1" applyAlignment="1">
      <alignment horizontal="center"/>
    </xf>
    <xf numFmtId="49" fontId="14" fillId="3" borderId="1" xfId="0" applyNumberFormat="1" applyFont="1" applyFill="1" applyBorder="1" applyAlignment="1">
      <alignment horizontal="center"/>
    </xf>
    <xf numFmtId="1" fontId="15" fillId="3" borderId="1" xfId="0" applyNumberFormat="1" applyFont="1" applyFill="1" applyBorder="1" applyAlignment="1">
      <alignment horizontal="center"/>
    </xf>
    <xf numFmtId="0" fontId="14" fillId="3" borderId="1" xfId="0" applyFont="1" applyFill="1" applyBorder="1" applyAlignment="1">
      <alignment horizontal="left"/>
    </xf>
    <xf numFmtId="0" fontId="14" fillId="3" borderId="0" xfId="0" applyFont="1" applyFill="1"/>
    <xf numFmtId="0" fontId="16" fillId="3" borderId="0" xfId="0" applyFont="1" applyFill="1" applyAlignment="1">
      <alignment horizontal="center"/>
    </xf>
    <xf numFmtId="0" fontId="13" fillId="4" borderId="1" xfId="0" applyFont="1" applyFill="1" applyBorder="1" applyAlignment="1">
      <alignment horizontal="center"/>
    </xf>
    <xf numFmtId="0" fontId="12" fillId="4" borderId="1" xfId="0" applyFont="1" applyFill="1" applyBorder="1" applyAlignment="1">
      <alignment horizontal="center"/>
    </xf>
    <xf numFmtId="2" fontId="13" fillId="4" borderId="1" xfId="0" applyNumberFormat="1" applyFont="1" applyFill="1" applyBorder="1" applyAlignment="1">
      <alignment horizontal="center"/>
    </xf>
    <xf numFmtId="49" fontId="13" fillId="4" borderId="1" xfId="0" applyNumberFormat="1" applyFont="1" applyFill="1" applyBorder="1" applyAlignment="1">
      <alignment horizontal="center"/>
    </xf>
    <xf numFmtId="165" fontId="12" fillId="4" borderId="1" xfId="0" applyNumberFormat="1" applyFont="1" applyFill="1" applyBorder="1" applyAlignment="1">
      <alignment horizontal="center"/>
    </xf>
    <xf numFmtId="0" fontId="13" fillId="4" borderId="0" xfId="0" applyFont="1" applyFill="1" applyBorder="1" applyAlignment="1">
      <alignment horizontal="center"/>
    </xf>
    <xf numFmtId="0" fontId="12" fillId="4" borderId="1" xfId="0" applyFont="1" applyFill="1" applyBorder="1" applyAlignment="1">
      <alignment horizontal="center" vertical="top"/>
    </xf>
    <xf numFmtId="2" fontId="13" fillId="4" borderId="1" xfId="0" applyNumberFormat="1" applyFont="1" applyFill="1" applyBorder="1" applyAlignment="1">
      <alignment horizontal="center" vertical="top"/>
    </xf>
    <xf numFmtId="49" fontId="13" fillId="4" borderId="1" xfId="0" applyNumberFormat="1" applyFont="1" applyFill="1" applyBorder="1" applyAlignment="1">
      <alignment horizontal="center" vertical="top"/>
    </xf>
    <xf numFmtId="2" fontId="14" fillId="3" borderId="2" xfId="0" applyNumberFormat="1" applyFont="1" applyFill="1" applyBorder="1" applyAlignment="1">
      <alignment horizontal="center" vertical="center"/>
    </xf>
    <xf numFmtId="0" fontId="17" fillId="3" borderId="2" xfId="0" applyFont="1" applyFill="1" applyBorder="1" applyAlignment="1">
      <alignment horizontal="center"/>
    </xf>
    <xf numFmtId="0" fontId="13" fillId="4" borderId="1" xfId="0" applyFont="1" applyFill="1" applyBorder="1" applyAlignment="1">
      <alignment horizontal="center" vertical="top"/>
    </xf>
    <xf numFmtId="0" fontId="14" fillId="3" borderId="0" xfId="0" applyFont="1" applyFill="1" applyAlignment="1">
      <alignment horizontal="center"/>
    </xf>
    <xf numFmtId="0" fontId="9" fillId="4" borderId="0" xfId="0" applyFont="1" applyFill="1" applyBorder="1" applyAlignment="1">
      <alignment horizontal="left"/>
    </xf>
    <xf numFmtId="2" fontId="14" fillId="3" borderId="1" xfId="0" applyNumberFormat="1" applyFont="1" applyFill="1" applyBorder="1" applyAlignment="1">
      <alignment horizontal="center" vertical="top"/>
    </xf>
    <xf numFmtId="49" fontId="14" fillId="3" borderId="1" xfId="0" applyNumberFormat="1" applyFont="1" applyFill="1" applyBorder="1" applyAlignment="1">
      <alignment horizontal="center" vertical="top"/>
    </xf>
    <xf numFmtId="165" fontId="14" fillId="3" borderId="1" xfId="0" applyNumberFormat="1" applyFont="1" applyFill="1" applyBorder="1" applyAlignment="1">
      <alignment horizontal="center" vertical="top"/>
    </xf>
    <xf numFmtId="0" fontId="14" fillId="3" borderId="1" xfId="0" applyFont="1" applyFill="1" applyBorder="1" applyAlignment="1">
      <alignment horizontal="center" vertical="top"/>
    </xf>
    <xf numFmtId="0" fontId="0" fillId="3" borderId="0" xfId="0" applyFont="1" applyFill="1" applyAlignment="1">
      <alignment horizontal="center"/>
    </xf>
    <xf numFmtId="0" fontId="14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2" fontId="14" fillId="0" borderId="1" xfId="0" applyNumberFormat="1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1" fontId="15" fillId="0" borderId="1" xfId="0" applyNumberFormat="1" applyFont="1" applyBorder="1" applyAlignment="1">
      <alignment horizontal="center"/>
    </xf>
    <xf numFmtId="0" fontId="18" fillId="0" borderId="0" xfId="0" applyFont="1" applyAlignment="1">
      <alignment horizontal="center"/>
    </xf>
    <xf numFmtId="0" fontId="0" fillId="0" borderId="0" xfId="0" quotePrefix="1" applyAlignment="1">
      <alignment horizontal="center"/>
    </xf>
    <xf numFmtId="0" fontId="0" fillId="0" borderId="3" xfId="0" applyBorder="1"/>
    <xf numFmtId="0" fontId="1" fillId="0" borderId="0" xfId="0" applyFont="1"/>
    <xf numFmtId="0" fontId="0" fillId="0" borderId="0" xfId="0" applyBorder="1"/>
    <xf numFmtId="0" fontId="1" fillId="0" borderId="0" xfId="0" applyFont="1" applyBorder="1"/>
    <xf numFmtId="0" fontId="0" fillId="0" borderId="0" xfId="0" applyFill="1" applyBorder="1"/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2" fontId="1" fillId="0" borderId="0" xfId="0" applyNumberFormat="1" applyFont="1" applyAlignment="1">
      <alignment horizontal="center"/>
    </xf>
    <xf numFmtId="0" fontId="0" fillId="0" borderId="4" xfId="0" applyBorder="1"/>
    <xf numFmtId="2" fontId="1" fillId="0" borderId="4" xfId="0" applyNumberFormat="1" applyFont="1" applyBorder="1" applyAlignment="1">
      <alignment horizontal="center"/>
    </xf>
    <xf numFmtId="2" fontId="0" fillId="0" borderId="0" xfId="0" quotePrefix="1" applyNumberFormat="1" applyAlignment="1">
      <alignment horizontal="center"/>
    </xf>
    <xf numFmtId="0" fontId="22" fillId="0" borderId="0" xfId="0" applyFont="1"/>
    <xf numFmtId="165" fontId="0" fillId="0" borderId="0" xfId="0" applyNumberFormat="1" applyAlignment="1">
      <alignment horizontal="center"/>
    </xf>
    <xf numFmtId="0" fontId="0" fillId="0" borderId="4" xfId="0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'faecalis inoculation 1'!$J$8</c:f>
              <c:strCache>
                <c:ptCount val="1"/>
                <c:pt idx="0">
                  <c:v>E. faecalis</c:v>
                </c:pt>
              </c:strCache>
            </c:strRef>
          </c:tx>
          <c:invertIfNegative val="0"/>
          <c:cat>
            <c:strRef>
              <c:f>'faecalis inoculation 1'!$B$11:$B$38</c:f>
              <c:strCache>
                <c:ptCount val="28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  <c:pt idx="24">
                  <c:v>gly/ser</c:v>
                </c:pt>
                <c:pt idx="25">
                  <c:v>asn/asp</c:v>
                </c:pt>
                <c:pt idx="26">
                  <c:v>cys/cyn/ser</c:v>
                </c:pt>
                <c:pt idx="27">
                  <c:v>no amino acids</c:v>
                </c:pt>
              </c:strCache>
            </c:strRef>
          </c:cat>
          <c:val>
            <c:numRef>
              <c:f>'faecalis inoculation 1'!$J$11:$J$38</c:f>
              <c:numCache>
                <c:formatCode>0.00</c:formatCode>
                <c:ptCount val="28"/>
                <c:pt idx="0">
                  <c:v>2.4824999999999999</c:v>
                </c:pt>
                <c:pt idx="1">
                  <c:v>2.2600000000000002</c:v>
                </c:pt>
                <c:pt idx="2">
                  <c:v>9.2499999999999999E-2</c:v>
                </c:pt>
                <c:pt idx="3">
                  <c:v>2.4</c:v>
                </c:pt>
                <c:pt idx="4">
                  <c:v>2.6100000000000003</c:v>
                </c:pt>
                <c:pt idx="5">
                  <c:v>2.3649999999999998</c:v>
                </c:pt>
                <c:pt idx="6">
                  <c:v>2.415</c:v>
                </c:pt>
                <c:pt idx="7">
                  <c:v>2.52</c:v>
                </c:pt>
                <c:pt idx="8">
                  <c:v>2.4175</c:v>
                </c:pt>
                <c:pt idx="9">
                  <c:v>0.28000000000000003</c:v>
                </c:pt>
                <c:pt idx="10">
                  <c:v>0.23749999999999999</c:v>
                </c:pt>
                <c:pt idx="11">
                  <c:v>0.11249999999999999</c:v>
                </c:pt>
                <c:pt idx="12">
                  <c:v>0.1875</c:v>
                </c:pt>
                <c:pt idx="13">
                  <c:v>1.4824999999999999</c:v>
                </c:pt>
                <c:pt idx="14">
                  <c:v>0.28000000000000003</c:v>
                </c:pt>
                <c:pt idx="15">
                  <c:v>2.2925</c:v>
                </c:pt>
                <c:pt idx="16">
                  <c:v>2.3975</c:v>
                </c:pt>
                <c:pt idx="17">
                  <c:v>1.8274999999999999</c:v>
                </c:pt>
                <c:pt idx="18">
                  <c:v>2.4699999999999998</c:v>
                </c:pt>
                <c:pt idx="19">
                  <c:v>0.18000000000000002</c:v>
                </c:pt>
                <c:pt idx="20">
                  <c:v>2.3200000000000003</c:v>
                </c:pt>
                <c:pt idx="21">
                  <c:v>0.1225</c:v>
                </c:pt>
                <c:pt idx="22">
                  <c:v>2.4074999999999998</c:v>
                </c:pt>
                <c:pt idx="23">
                  <c:v>0.14500000000000002</c:v>
                </c:pt>
                <c:pt idx="24">
                  <c:v>0.45999999999999996</c:v>
                </c:pt>
                <c:pt idx="25">
                  <c:v>2.3425000000000002</c:v>
                </c:pt>
                <c:pt idx="26">
                  <c:v>1.23</c:v>
                </c:pt>
                <c:pt idx="2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213376"/>
        <c:axId val="214215296"/>
      </c:barChart>
      <c:catAx>
        <c:axId val="2142133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amino acid omission</a:t>
                </a:r>
              </a:p>
            </c:rich>
          </c:tx>
          <c:layout/>
          <c:overlay val="0"/>
        </c:title>
        <c:majorTickMark val="out"/>
        <c:minorTickMark val="none"/>
        <c:tickLblPos val="nextTo"/>
        <c:crossAx val="214215296"/>
        <c:crosses val="autoZero"/>
        <c:auto val="1"/>
        <c:lblAlgn val="ctr"/>
        <c:lblOffset val="100"/>
        <c:noMultiLvlLbl val="0"/>
      </c:catAx>
      <c:valAx>
        <c:axId val="2142152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final OD600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none"/>
        <c:tickLblPos val="nextTo"/>
        <c:crossAx val="21421337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i="1"/>
              <a:t>E. faecalis </a:t>
            </a:r>
            <a:r>
              <a:rPr lang="en-US"/>
              <a:t>amino acid requirements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393414364708664E-2"/>
          <c:y val="0.11579650360151536"/>
          <c:w val="0.89975306679235267"/>
          <c:h val="0.69731387475641204"/>
        </c:manualLayout>
      </c:layout>
      <c:barChart>
        <c:barDir val="col"/>
        <c:grouping val="clustered"/>
        <c:varyColors val="0"/>
        <c:ser>
          <c:idx val="0"/>
          <c:order val="0"/>
          <c:invertIfNegative val="0"/>
          <c:errBars>
            <c:errBarType val="both"/>
            <c:errValType val="cust"/>
            <c:noEndCap val="0"/>
            <c:plus>
              <c:numRef>
                <c:f>summary!$K$5:$K$32</c:f>
                <c:numCache>
                  <c:formatCode>General</c:formatCode>
                  <c:ptCount val="28"/>
                  <c:pt idx="0">
                    <c:v>0.11971319893812868</c:v>
                  </c:pt>
                  <c:pt idx="1">
                    <c:v>0.16889345754054536</c:v>
                  </c:pt>
                  <c:pt idx="2">
                    <c:v>6.7884706181387686E-2</c:v>
                  </c:pt>
                  <c:pt idx="3">
                    <c:v>5.6862407030772985E-2</c:v>
                  </c:pt>
                  <c:pt idx="4">
                    <c:v>0.14506464076404002</c:v>
                  </c:pt>
                  <c:pt idx="5">
                    <c:v>9.6436507609929584E-2</c:v>
                  </c:pt>
                  <c:pt idx="6">
                    <c:v>0.21626083787870604</c:v>
                  </c:pt>
                  <c:pt idx="7">
                    <c:v>0.17015311731888225</c:v>
                  </c:pt>
                  <c:pt idx="8">
                    <c:v>0.13938107236398098</c:v>
                  </c:pt>
                  <c:pt idx="9">
                    <c:v>0.24719584753194587</c:v>
                  </c:pt>
                  <c:pt idx="10">
                    <c:v>0.10938035701166829</c:v>
                  </c:pt>
                  <c:pt idx="11">
                    <c:v>0.10263202878893768</c:v>
                  </c:pt>
                  <c:pt idx="12">
                    <c:v>0.17680762851189424</c:v>
                  </c:pt>
                  <c:pt idx="13">
                    <c:v>0.23125112612338178</c:v>
                  </c:pt>
                  <c:pt idx="14">
                    <c:v>0.14272095442973096</c:v>
                  </c:pt>
                  <c:pt idx="15">
                    <c:v>3.9290584113754357E-2</c:v>
                  </c:pt>
                  <c:pt idx="16">
                    <c:v>3.1324910215354156E-2</c:v>
                  </c:pt>
                  <c:pt idx="17">
                    <c:v>5.0332229568471713E-2</c:v>
                  </c:pt>
                  <c:pt idx="18">
                    <c:v>2.3228933107944043E-2</c:v>
                  </c:pt>
                  <c:pt idx="19">
                    <c:v>0.12438808557628556</c:v>
                  </c:pt>
                  <c:pt idx="20">
                    <c:v>0.21270578271405782</c:v>
                  </c:pt>
                  <c:pt idx="21">
                    <c:v>0.11239810200058245</c:v>
                  </c:pt>
                  <c:pt idx="22">
                    <c:v>7.7513439694889802E-2</c:v>
                  </c:pt>
                  <c:pt idx="23">
                    <c:v>0.10395311443145891</c:v>
                  </c:pt>
                  <c:pt idx="24">
                    <c:v>0.28284271247461912</c:v>
                  </c:pt>
                  <c:pt idx="25">
                    <c:v>0.20497459192137285</c:v>
                  </c:pt>
                  <c:pt idx="26">
                    <c:v>0.1821457749532879</c:v>
                  </c:pt>
                  <c:pt idx="27">
                    <c:v>0.12753267555153591</c:v>
                  </c:pt>
                </c:numCache>
              </c:numRef>
            </c:plus>
            <c:minus>
              <c:numRef>
                <c:f>summary!$K$5:$K$32</c:f>
                <c:numCache>
                  <c:formatCode>General</c:formatCode>
                  <c:ptCount val="28"/>
                  <c:pt idx="0">
                    <c:v>0.11971319893812868</c:v>
                  </c:pt>
                  <c:pt idx="1">
                    <c:v>0.16889345754054536</c:v>
                  </c:pt>
                  <c:pt idx="2">
                    <c:v>6.7884706181387686E-2</c:v>
                  </c:pt>
                  <c:pt idx="3">
                    <c:v>5.6862407030772985E-2</c:v>
                  </c:pt>
                  <c:pt idx="4">
                    <c:v>0.14506464076404002</c:v>
                  </c:pt>
                  <c:pt idx="5">
                    <c:v>9.6436507609929584E-2</c:v>
                  </c:pt>
                  <c:pt idx="6">
                    <c:v>0.21626083787870604</c:v>
                  </c:pt>
                  <c:pt idx="7">
                    <c:v>0.17015311731888225</c:v>
                  </c:pt>
                  <c:pt idx="8">
                    <c:v>0.13938107236398098</c:v>
                  </c:pt>
                  <c:pt idx="9">
                    <c:v>0.24719584753194587</c:v>
                  </c:pt>
                  <c:pt idx="10">
                    <c:v>0.10938035701166829</c:v>
                  </c:pt>
                  <c:pt idx="11">
                    <c:v>0.10263202878893768</c:v>
                  </c:pt>
                  <c:pt idx="12">
                    <c:v>0.17680762851189424</c:v>
                  </c:pt>
                  <c:pt idx="13">
                    <c:v>0.23125112612338178</c:v>
                  </c:pt>
                  <c:pt idx="14">
                    <c:v>0.14272095442973096</c:v>
                  </c:pt>
                  <c:pt idx="15">
                    <c:v>3.9290584113754357E-2</c:v>
                  </c:pt>
                  <c:pt idx="16">
                    <c:v>3.1324910215354156E-2</c:v>
                  </c:pt>
                  <c:pt idx="17">
                    <c:v>5.0332229568471713E-2</c:v>
                  </c:pt>
                  <c:pt idx="18">
                    <c:v>2.3228933107944043E-2</c:v>
                  </c:pt>
                  <c:pt idx="19">
                    <c:v>0.12438808557628556</c:v>
                  </c:pt>
                  <c:pt idx="20">
                    <c:v>0.21270578271405782</c:v>
                  </c:pt>
                  <c:pt idx="21">
                    <c:v>0.11239810200058245</c:v>
                  </c:pt>
                  <c:pt idx="22">
                    <c:v>7.7513439694889802E-2</c:v>
                  </c:pt>
                  <c:pt idx="23">
                    <c:v>0.10395311443145891</c:v>
                  </c:pt>
                  <c:pt idx="24">
                    <c:v>0.28284271247461912</c:v>
                  </c:pt>
                  <c:pt idx="25">
                    <c:v>0.20497459192137285</c:v>
                  </c:pt>
                  <c:pt idx="26">
                    <c:v>0.1821457749532879</c:v>
                  </c:pt>
                  <c:pt idx="27">
                    <c:v>0.12753267555153591</c:v>
                  </c:pt>
                </c:numCache>
              </c:numRef>
            </c:minus>
          </c:errBars>
          <c:cat>
            <c:strRef>
              <c:f>summary!$C$5:$C$32</c:f>
              <c:strCache>
                <c:ptCount val="28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  <c:pt idx="24">
                  <c:v>gly/ser</c:v>
                </c:pt>
                <c:pt idx="25">
                  <c:v>asn/asp</c:v>
                </c:pt>
                <c:pt idx="26">
                  <c:v>cys/cyn/ser</c:v>
                </c:pt>
                <c:pt idx="27">
                  <c:v>no amino acids</c:v>
                </c:pt>
              </c:strCache>
            </c:strRef>
          </c:cat>
          <c:val>
            <c:numRef>
              <c:f>summary!$J$5:$J$32</c:f>
              <c:numCache>
                <c:formatCode>0.00</c:formatCode>
                <c:ptCount val="28"/>
                <c:pt idx="0">
                  <c:v>2.3725000000000001</c:v>
                </c:pt>
                <c:pt idx="1">
                  <c:v>2.16</c:v>
                </c:pt>
                <c:pt idx="2">
                  <c:v>0.13416666666666666</c:v>
                </c:pt>
                <c:pt idx="3">
                  <c:v>2.3833333333333333</c:v>
                </c:pt>
                <c:pt idx="4">
                  <c:v>2.5024999999999999</c:v>
                </c:pt>
                <c:pt idx="5">
                  <c:v>2.4350000000000001</c:v>
                </c:pt>
                <c:pt idx="6">
                  <c:v>2.2624999999999997</c:v>
                </c:pt>
                <c:pt idx="7">
                  <c:v>2.3458333333333332</c:v>
                </c:pt>
                <c:pt idx="8">
                  <c:v>2.3633333333333333</c:v>
                </c:pt>
                <c:pt idx="9">
                  <c:v>0.3938888888888889</c:v>
                </c:pt>
                <c:pt idx="10">
                  <c:v>0.23624999999999999</c:v>
                </c:pt>
                <c:pt idx="11">
                  <c:v>0.13916666666666666</c:v>
                </c:pt>
                <c:pt idx="12">
                  <c:v>0.22125000000000003</c:v>
                </c:pt>
                <c:pt idx="13">
                  <c:v>1.7141666666666666</c:v>
                </c:pt>
                <c:pt idx="14">
                  <c:v>0.18541666666666667</c:v>
                </c:pt>
                <c:pt idx="15">
                  <c:v>2.2574999999999998</c:v>
                </c:pt>
                <c:pt idx="16">
                  <c:v>2.3649999999999998</c:v>
                </c:pt>
                <c:pt idx="17">
                  <c:v>1.8208333333333331</c:v>
                </c:pt>
                <c:pt idx="18">
                  <c:v>2.4966666666666666</c:v>
                </c:pt>
                <c:pt idx="19">
                  <c:v>0.15958333333333333</c:v>
                </c:pt>
                <c:pt idx="20">
                  <c:v>2.2124999999999999</c:v>
                </c:pt>
                <c:pt idx="21">
                  <c:v>0.14916666666666667</c:v>
                </c:pt>
                <c:pt idx="22">
                  <c:v>2.4058333333333333</c:v>
                </c:pt>
                <c:pt idx="23">
                  <c:v>0.20750000000000002</c:v>
                </c:pt>
                <c:pt idx="24">
                  <c:v>0.65999999999999992</c:v>
                </c:pt>
                <c:pt idx="25">
                  <c:v>2.226666666666667</c:v>
                </c:pt>
                <c:pt idx="26">
                  <c:v>1.4216666666666666</c:v>
                </c:pt>
                <c:pt idx="27">
                  <c:v>0.13666666666666669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5035264"/>
        <c:axId val="215041536"/>
      </c:barChart>
      <c:catAx>
        <c:axId val="2150352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amino acid omission</a:t>
                </a:r>
              </a:p>
            </c:rich>
          </c:tx>
          <c:layout>
            <c:manualLayout>
              <c:xMode val="edge"/>
              <c:yMode val="edge"/>
              <c:x val="0.44716943129960829"/>
              <c:y val="0.90862047259041057"/>
            </c:manualLayout>
          </c:layout>
          <c:overlay val="0"/>
        </c:title>
        <c:majorTickMark val="out"/>
        <c:minorTickMark val="none"/>
        <c:tickLblPos val="nextTo"/>
        <c:crossAx val="215041536"/>
        <c:crosses val="autoZero"/>
        <c:auto val="1"/>
        <c:lblAlgn val="ctr"/>
        <c:lblOffset val="100"/>
        <c:noMultiLvlLbl val="0"/>
      </c:catAx>
      <c:valAx>
        <c:axId val="21504153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final OD600</a:t>
                </a:r>
              </a:p>
            </c:rich>
          </c:tx>
          <c:layout/>
          <c:overlay val="0"/>
        </c:title>
        <c:numFmt formatCode="0.0" sourceLinked="0"/>
        <c:majorTickMark val="out"/>
        <c:minorTickMark val="none"/>
        <c:tickLblPos val="nextTo"/>
        <c:crossAx val="2150352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i="1"/>
              <a:t>E.</a:t>
            </a:r>
            <a:r>
              <a:rPr lang="en-US" i="1" baseline="0"/>
              <a:t> faecalis </a:t>
            </a:r>
            <a:r>
              <a:rPr lang="en-US" baseline="0"/>
              <a:t>growth in amino acid omission exps</a:t>
            </a:r>
          </a:p>
          <a:p>
            <a:pPr>
              <a:defRPr/>
            </a:pPr>
            <a:r>
              <a:rPr lang="en-US" sz="1400" baseline="0"/>
              <a:t>(subsequent inoculations in the same medium)</a:t>
            </a:r>
            <a:endParaRPr lang="en-US" sz="1400"/>
          </a:p>
        </c:rich>
      </c:tx>
      <c:layout>
        <c:manualLayout>
          <c:xMode val="edge"/>
          <c:yMode val="edge"/>
          <c:x val="1.6561853609358426E-2"/>
          <c:y val="1.827735497602428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5829726582190466E-2"/>
          <c:y val="9.8839474308731023E-2"/>
          <c:w val="0.68124472023778482"/>
          <c:h val="0.8224734902796853"/>
        </c:manualLayout>
      </c:layout>
      <c:scatterChart>
        <c:scatterStyle val="lineMarker"/>
        <c:varyColors val="0"/>
        <c:ser>
          <c:idx val="0"/>
          <c:order val="0"/>
          <c:tx>
            <c:strRef>
              <c:f>'continuous passaging'!$B$4</c:f>
              <c:strCache>
                <c:ptCount val="1"/>
                <c:pt idx="0">
                  <c:v>full medium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passaging'!$C$4:$H$4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2.4824999999999999</c:v>
                </c:pt>
                <c:pt idx="2" formatCode="General">
                  <c:v>4.965E-2</c:v>
                </c:pt>
                <c:pt idx="3">
                  <c:v>2.3899999999999997</c:v>
                </c:pt>
                <c:pt idx="4" formatCode="General">
                  <c:v>3.9833333333333325E-2</c:v>
                </c:pt>
                <c:pt idx="5">
                  <c:v>2.2450000000000001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'continuous passaging'!$B$5</c:f>
              <c:strCache>
                <c:ptCount val="1"/>
                <c:pt idx="0">
                  <c:v>ala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passaging'!$C$5:$H$5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2.2600000000000002</c:v>
                </c:pt>
                <c:pt idx="2" formatCode="General">
                  <c:v>4.5200000000000004E-2</c:v>
                </c:pt>
                <c:pt idx="3">
                  <c:v>2.2549999999999999</c:v>
                </c:pt>
                <c:pt idx="4" formatCode="General">
                  <c:v>3.758333333333333E-2</c:v>
                </c:pt>
                <c:pt idx="5">
                  <c:v>1.9650000000000001</c:v>
                </c:pt>
              </c:numCache>
            </c:numRef>
          </c:yVal>
          <c:smooth val="0"/>
        </c:ser>
        <c:ser>
          <c:idx val="3"/>
          <c:order val="2"/>
          <c:tx>
            <c:strRef>
              <c:f>'continuous passaging'!$B$7</c:f>
              <c:strCache>
                <c:ptCount val="1"/>
                <c:pt idx="0">
                  <c:v>asn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passaging'!$C$7:$H$7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2.4</c:v>
                </c:pt>
                <c:pt idx="2" formatCode="General">
                  <c:v>4.8000000000000001E-2</c:v>
                </c:pt>
                <c:pt idx="3">
                  <c:v>2.4299999999999997</c:v>
                </c:pt>
                <c:pt idx="4" formatCode="General">
                  <c:v>4.0499999999999994E-2</c:v>
                </c:pt>
                <c:pt idx="5">
                  <c:v>2.3200000000000003</c:v>
                </c:pt>
              </c:numCache>
            </c:numRef>
          </c:yVal>
          <c:smooth val="0"/>
        </c:ser>
        <c:ser>
          <c:idx val="4"/>
          <c:order val="3"/>
          <c:tx>
            <c:strRef>
              <c:f>'continuous passaging'!$B$8</c:f>
              <c:strCache>
                <c:ptCount val="1"/>
                <c:pt idx="0">
                  <c:v>asp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passaging'!$C$8:$H$8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2.6100000000000003</c:v>
                </c:pt>
                <c:pt idx="2" formatCode="General">
                  <c:v>5.2200000000000003E-2</c:v>
                </c:pt>
                <c:pt idx="3">
                  <c:v>2.56</c:v>
                </c:pt>
                <c:pt idx="4" formatCode="General">
                  <c:v>4.2666666666666665E-2</c:v>
                </c:pt>
                <c:pt idx="5">
                  <c:v>2.3375000000000004</c:v>
                </c:pt>
              </c:numCache>
            </c:numRef>
          </c:yVal>
          <c:smooth val="0"/>
        </c:ser>
        <c:ser>
          <c:idx val="5"/>
          <c:order val="4"/>
          <c:tx>
            <c:strRef>
              <c:f>'continuous passaging'!$B$9</c:f>
              <c:strCache>
                <c:ptCount val="1"/>
                <c:pt idx="0">
                  <c:v>cys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passaging'!$C$9:$H$9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2.3649999999999998</c:v>
                </c:pt>
                <c:pt idx="2" formatCode="General">
                  <c:v>4.7299999999999995E-2</c:v>
                </c:pt>
                <c:pt idx="3">
                  <c:v>2.395</c:v>
                </c:pt>
                <c:pt idx="4" formatCode="General">
                  <c:v>3.991666666666667E-2</c:v>
                </c:pt>
                <c:pt idx="5">
                  <c:v>2.5449999999999999</c:v>
                </c:pt>
              </c:numCache>
            </c:numRef>
          </c:yVal>
          <c:smooth val="0"/>
        </c:ser>
        <c:ser>
          <c:idx val="6"/>
          <c:order val="5"/>
          <c:tx>
            <c:strRef>
              <c:f>'continuous passaging'!$B$10</c:f>
              <c:strCache>
                <c:ptCount val="1"/>
                <c:pt idx="0">
                  <c:v>cyn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passaging'!$C$10:$H$10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2.415</c:v>
                </c:pt>
                <c:pt idx="2" formatCode="General">
                  <c:v>4.8300000000000003E-2</c:v>
                </c:pt>
                <c:pt idx="3">
                  <c:v>2.3574999999999999</c:v>
                </c:pt>
                <c:pt idx="4" formatCode="General">
                  <c:v>3.9291666666666662E-2</c:v>
                </c:pt>
                <c:pt idx="5">
                  <c:v>2.0150000000000001</c:v>
                </c:pt>
              </c:numCache>
            </c:numRef>
          </c:yVal>
          <c:smooth val="0"/>
        </c:ser>
        <c:ser>
          <c:idx val="7"/>
          <c:order val="6"/>
          <c:tx>
            <c:strRef>
              <c:f>'continuous passaging'!$B$11</c:f>
              <c:strCache>
                <c:ptCount val="1"/>
                <c:pt idx="0">
                  <c:v>glu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passaging'!$C$11:$H$11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2.52</c:v>
                </c:pt>
                <c:pt idx="2" formatCode="General">
                  <c:v>5.04E-2</c:v>
                </c:pt>
                <c:pt idx="3">
                  <c:v>2.3375000000000004</c:v>
                </c:pt>
                <c:pt idx="4" formatCode="General">
                  <c:v>3.8958333333333338E-2</c:v>
                </c:pt>
                <c:pt idx="5">
                  <c:v>2.1800000000000002</c:v>
                </c:pt>
              </c:numCache>
            </c:numRef>
          </c:yVal>
          <c:smooth val="0"/>
        </c:ser>
        <c:ser>
          <c:idx val="8"/>
          <c:order val="7"/>
          <c:tx>
            <c:strRef>
              <c:f>'continuous passaging'!$B$12</c:f>
              <c:strCache>
                <c:ptCount val="1"/>
                <c:pt idx="0">
                  <c:v>gln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passaging'!$C$12:$H$12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2.4175</c:v>
                </c:pt>
                <c:pt idx="2" formatCode="General">
                  <c:v>4.8349999999999997E-2</c:v>
                </c:pt>
                <c:pt idx="3">
                  <c:v>2.4674999999999998</c:v>
                </c:pt>
                <c:pt idx="4" formatCode="General">
                  <c:v>4.1124999999999995E-2</c:v>
                </c:pt>
                <c:pt idx="5">
                  <c:v>2.2050000000000001</c:v>
                </c:pt>
              </c:numCache>
            </c:numRef>
          </c:yVal>
          <c:smooth val="0"/>
        </c:ser>
        <c:ser>
          <c:idx val="13"/>
          <c:order val="8"/>
          <c:tx>
            <c:strRef>
              <c:f>'continuous passaging'!$B$17</c:f>
              <c:strCache>
                <c:ptCount val="1"/>
                <c:pt idx="0">
                  <c:v>lys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passaging'!$C$17:$H$17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1.4824999999999999</c:v>
                </c:pt>
                <c:pt idx="2" formatCode="General">
                  <c:v>4.9416666666666664E-2</c:v>
                </c:pt>
                <c:pt idx="3">
                  <c:v>1.9450000000000001</c:v>
                </c:pt>
                <c:pt idx="4" formatCode="General">
                  <c:v>3.241666666666667E-2</c:v>
                </c:pt>
                <c:pt idx="5">
                  <c:v>1.7149999999999999</c:v>
                </c:pt>
              </c:numCache>
            </c:numRef>
          </c:yVal>
          <c:smooth val="0"/>
        </c:ser>
        <c:ser>
          <c:idx val="15"/>
          <c:order val="9"/>
          <c:tx>
            <c:strRef>
              <c:f>'continuous passaging'!$B$19</c:f>
              <c:strCache>
                <c:ptCount val="1"/>
                <c:pt idx="0">
                  <c:v>phe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passaging'!$C$19:$H$19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2.2925</c:v>
                </c:pt>
                <c:pt idx="2" formatCode="General">
                  <c:v>4.5850000000000002E-2</c:v>
                </c:pt>
                <c:pt idx="3">
                  <c:v>2.2650000000000001</c:v>
                </c:pt>
                <c:pt idx="4" formatCode="General">
                  <c:v>3.7749999999999999E-2</c:v>
                </c:pt>
                <c:pt idx="5">
                  <c:v>2.2149999999999999</c:v>
                </c:pt>
              </c:numCache>
            </c:numRef>
          </c:yVal>
          <c:smooth val="0"/>
        </c:ser>
        <c:ser>
          <c:idx val="16"/>
          <c:order val="10"/>
          <c:tx>
            <c:strRef>
              <c:f>'continuous passaging'!$B$20</c:f>
              <c:strCache>
                <c:ptCount val="1"/>
                <c:pt idx="0">
                  <c:v>pro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passaging'!$C$20:$H$20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2.3975</c:v>
                </c:pt>
                <c:pt idx="2" formatCode="General">
                  <c:v>4.795E-2</c:v>
                </c:pt>
                <c:pt idx="3">
                  <c:v>2.3625000000000003</c:v>
                </c:pt>
                <c:pt idx="4" formatCode="General">
                  <c:v>3.9375000000000007E-2</c:v>
                </c:pt>
                <c:pt idx="5">
                  <c:v>2.335</c:v>
                </c:pt>
              </c:numCache>
            </c:numRef>
          </c:yVal>
          <c:smooth val="0"/>
        </c:ser>
        <c:ser>
          <c:idx val="17"/>
          <c:order val="11"/>
          <c:tx>
            <c:strRef>
              <c:f>'continuous passaging'!$B$21</c:f>
              <c:strCache>
                <c:ptCount val="1"/>
                <c:pt idx="0">
                  <c:v>ser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passaging'!$C$21:$H$21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1.8274999999999999</c:v>
                </c:pt>
                <c:pt idx="2" formatCode="General">
                  <c:v>6.0916666666666661E-2</c:v>
                </c:pt>
                <c:pt idx="3">
                  <c:v>1.8674999999999999</c:v>
                </c:pt>
                <c:pt idx="4" formatCode="General">
                  <c:v>3.1125E-2</c:v>
                </c:pt>
                <c:pt idx="5">
                  <c:v>1.7674999999999998</c:v>
                </c:pt>
              </c:numCache>
            </c:numRef>
          </c:yVal>
          <c:smooth val="0"/>
        </c:ser>
        <c:ser>
          <c:idx val="18"/>
          <c:order val="12"/>
          <c:tx>
            <c:strRef>
              <c:f>'continuous passaging'!$B$22</c:f>
              <c:strCache>
                <c:ptCount val="1"/>
                <c:pt idx="0">
                  <c:v>thr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passaging'!$C$22:$H$22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2.4699999999999998</c:v>
                </c:pt>
                <c:pt idx="2" formatCode="General">
                  <c:v>4.9399999999999993E-2</c:v>
                </c:pt>
                <c:pt idx="3">
                  <c:v>2.5075000000000003</c:v>
                </c:pt>
                <c:pt idx="4" formatCode="General">
                  <c:v>4.1791666666666671E-2</c:v>
                </c:pt>
                <c:pt idx="5">
                  <c:v>2.5124999999999997</c:v>
                </c:pt>
              </c:numCache>
            </c:numRef>
          </c:yVal>
          <c:smooth val="0"/>
        </c:ser>
        <c:ser>
          <c:idx val="20"/>
          <c:order val="13"/>
          <c:tx>
            <c:strRef>
              <c:f>'continuous passaging'!$B$24</c:f>
              <c:strCache>
                <c:ptCount val="1"/>
                <c:pt idx="0">
                  <c:v>tyr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passaging'!$C$24:$H$24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2.3200000000000003</c:v>
                </c:pt>
                <c:pt idx="2" formatCode="General">
                  <c:v>4.6400000000000004E-2</c:v>
                </c:pt>
                <c:pt idx="3">
                  <c:v>2.3499999999999996</c:v>
                </c:pt>
                <c:pt idx="4" formatCode="General">
                  <c:v>3.9166666666666662E-2</c:v>
                </c:pt>
                <c:pt idx="5">
                  <c:v>1.9675</c:v>
                </c:pt>
              </c:numCache>
            </c:numRef>
          </c:yVal>
          <c:smooth val="0"/>
        </c:ser>
        <c:ser>
          <c:idx val="22"/>
          <c:order val="14"/>
          <c:tx>
            <c:strRef>
              <c:f>'continuous passaging'!$B$26</c:f>
              <c:strCache>
                <c:ptCount val="1"/>
                <c:pt idx="0">
                  <c:v>cys/cyn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passaging'!$C$26:$H$26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2.4074999999999998</c:v>
                </c:pt>
                <c:pt idx="2" formatCode="General">
                  <c:v>4.8149999999999998E-2</c:v>
                </c:pt>
                <c:pt idx="3">
                  <c:v>2.4824999999999999</c:v>
                </c:pt>
                <c:pt idx="4" formatCode="General">
                  <c:v>4.1375000000000002E-2</c:v>
                </c:pt>
                <c:pt idx="5">
                  <c:v>2.3275000000000001</c:v>
                </c:pt>
              </c:numCache>
            </c:numRef>
          </c:yVal>
          <c:smooth val="0"/>
        </c:ser>
        <c:ser>
          <c:idx val="25"/>
          <c:order val="15"/>
          <c:tx>
            <c:strRef>
              <c:f>'continuous passaging'!$B$29</c:f>
              <c:strCache>
                <c:ptCount val="1"/>
                <c:pt idx="0">
                  <c:v>asn/asp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passaging'!$C$29:$H$29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2.3425000000000002</c:v>
                </c:pt>
                <c:pt idx="2" formatCode="General">
                  <c:v>4.6850000000000003E-2</c:v>
                </c:pt>
                <c:pt idx="3">
                  <c:v>2.3475000000000001</c:v>
                </c:pt>
                <c:pt idx="4" formatCode="General">
                  <c:v>3.9125E-2</c:v>
                </c:pt>
                <c:pt idx="5">
                  <c:v>1.9900000000000002</c:v>
                </c:pt>
              </c:numCache>
            </c:numRef>
          </c:yVal>
          <c:smooth val="0"/>
        </c:ser>
        <c:ser>
          <c:idx val="26"/>
          <c:order val="16"/>
          <c:tx>
            <c:strRef>
              <c:f>'continuous passaging'!$B$30</c:f>
              <c:strCache>
                <c:ptCount val="1"/>
                <c:pt idx="0">
                  <c:v>cys/cyn/ser</c:v>
                </c:pt>
              </c:strCache>
            </c:strRef>
          </c:tx>
          <c:xVal>
            <c:numRef>
              <c:f>'continuous passaging'!$C$3:$H$3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'continuous passaging'!$C$30:$H$30</c:f>
              <c:numCache>
                <c:formatCode>0.00</c:formatCode>
                <c:ptCount val="6"/>
                <c:pt idx="0" formatCode="General">
                  <c:v>0.04</c:v>
                </c:pt>
                <c:pt idx="1">
                  <c:v>1.23</c:v>
                </c:pt>
                <c:pt idx="2" formatCode="General">
                  <c:v>4.1000000000000002E-2</c:v>
                </c:pt>
                <c:pt idx="3">
                  <c:v>1.4424999999999999</c:v>
                </c:pt>
                <c:pt idx="4" formatCode="General">
                  <c:v>3.6062499999999997E-2</c:v>
                </c:pt>
                <c:pt idx="5">
                  <c:v>1.5925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5128320"/>
        <c:axId val="215130496"/>
      </c:scatterChart>
      <c:valAx>
        <c:axId val="215128320"/>
        <c:scaling>
          <c:orientation val="minMax"/>
          <c:max val="72"/>
        </c:scaling>
        <c:delete val="0"/>
        <c:axPos val="b"/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time (h)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15130496"/>
        <c:crosses val="autoZero"/>
        <c:crossBetween val="midCat"/>
        <c:majorUnit val="24"/>
      </c:valAx>
      <c:valAx>
        <c:axId val="215130496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final OD600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151283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2641219516434616"/>
          <c:y val="3.0540431126253327E-2"/>
          <c:w val="0.1716135648606838"/>
          <c:h val="0.9265859202285966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i="1"/>
              <a:t>E.</a:t>
            </a:r>
            <a:r>
              <a:rPr lang="en-US" i="1" baseline="0"/>
              <a:t> faecalis </a:t>
            </a:r>
            <a:r>
              <a:rPr lang="en-US" baseline="0"/>
              <a:t>growth in amino acid omission exps</a:t>
            </a:r>
          </a:p>
          <a:p>
            <a:pPr>
              <a:defRPr/>
            </a:pPr>
            <a:r>
              <a:rPr lang="en-US" sz="1400" baseline="0"/>
              <a:t>(subsequent inoculations in the same medium)</a:t>
            </a:r>
            <a:endParaRPr lang="en-US" sz="1400"/>
          </a:p>
        </c:rich>
      </c:tx>
      <c:layout>
        <c:manualLayout>
          <c:xMode val="edge"/>
          <c:yMode val="edge"/>
          <c:x val="1.6561853609358426E-2"/>
          <c:y val="1.827735497602428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5829726582190466E-2"/>
          <c:y val="9.8839474308731023E-2"/>
          <c:w val="0.68124472023778482"/>
          <c:h val="0.8224734902796853"/>
        </c:manualLayout>
      </c:layout>
      <c:scatterChart>
        <c:scatterStyle val="lineMarker"/>
        <c:varyColors val="0"/>
        <c:ser>
          <c:idx val="0"/>
          <c:order val="0"/>
          <c:tx>
            <c:strRef>
              <c:f>'continuous passaging'!$K$4</c:f>
              <c:strCache>
                <c:ptCount val="1"/>
                <c:pt idx="0">
                  <c:v>full medium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passaging'!$L$4:$S$4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1"/>
          <c:order val="1"/>
          <c:tx>
            <c:strRef>
              <c:f>'continuous passaging'!$K$5</c:f>
              <c:strCache>
                <c:ptCount val="1"/>
                <c:pt idx="0">
                  <c:v>ala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passaging'!$L$5:$S$5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4"/>
          <c:order val="2"/>
          <c:tx>
            <c:strRef>
              <c:f>'continuous passaging'!$K$7</c:f>
              <c:strCache>
                <c:ptCount val="1"/>
                <c:pt idx="0">
                  <c:v>asn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passaging'!$L$7:$S$7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5"/>
          <c:order val="3"/>
          <c:tx>
            <c:strRef>
              <c:f>'continuous passaging'!$K$8</c:f>
              <c:strCache>
                <c:ptCount val="1"/>
                <c:pt idx="0">
                  <c:v>asp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passaging'!$L$8:$S$8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6"/>
          <c:order val="4"/>
          <c:tx>
            <c:strRef>
              <c:f>'continuous passaging'!$K$9</c:f>
              <c:strCache>
                <c:ptCount val="1"/>
                <c:pt idx="0">
                  <c:v>cys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passaging'!$L$9:$S$9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7"/>
          <c:order val="5"/>
          <c:tx>
            <c:strRef>
              <c:f>'continuous passaging'!$K$10</c:f>
              <c:strCache>
                <c:ptCount val="1"/>
                <c:pt idx="0">
                  <c:v>cyn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passaging'!$L$10:$S$10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8"/>
          <c:order val="6"/>
          <c:tx>
            <c:strRef>
              <c:f>'continuous passaging'!$K$11</c:f>
              <c:strCache>
                <c:ptCount val="1"/>
                <c:pt idx="0">
                  <c:v>glu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passaging'!$L$11:$S$11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13"/>
          <c:order val="7"/>
          <c:tx>
            <c:strRef>
              <c:f>'continuous passaging'!$K$12</c:f>
              <c:strCache>
                <c:ptCount val="1"/>
                <c:pt idx="0">
                  <c:v>gln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passaging'!$L$12:$S$12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15"/>
          <c:order val="8"/>
          <c:tx>
            <c:strRef>
              <c:f>'continuous passaging'!$K$13</c:f>
              <c:strCache>
                <c:ptCount val="1"/>
                <c:pt idx="0">
                  <c:v>gly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passaging'!$L$13:$S$13</c:f>
              <c:numCache>
                <c:formatCode>0.00</c:formatCode>
                <c:ptCount val="8"/>
                <c:pt idx="0" formatCode="General">
                  <c:v>4.965E-2</c:v>
                </c:pt>
                <c:pt idx="1">
                  <c:v>0.96500000000000008</c:v>
                </c:pt>
                <c:pt idx="2" formatCode="General">
                  <c:v>3.216666666666667E-2</c:v>
                </c:pt>
                <c:pt idx="3">
                  <c:v>0.67749999999999999</c:v>
                </c:pt>
                <c:pt idx="4" formatCode="General">
                  <c:v>3.3875000000000002E-2</c:v>
                </c:pt>
                <c:pt idx="5" formatCode="General">
                  <c:v>0.34549999999999997</c:v>
                </c:pt>
                <c:pt idx="6" formatCode="General">
                  <c:v>5.7583333333333327E-2</c:v>
                </c:pt>
                <c:pt idx="7" formatCode="General">
                  <c:v>1.625</c:v>
                </c:pt>
              </c:numCache>
            </c:numRef>
          </c:yVal>
          <c:smooth val="0"/>
        </c:ser>
        <c:ser>
          <c:idx val="16"/>
          <c:order val="9"/>
          <c:tx>
            <c:strRef>
              <c:f>'continuous passaging'!$K$14</c:f>
              <c:strCache>
                <c:ptCount val="1"/>
                <c:pt idx="0">
                  <c:v>his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passaging'!$L$14:$S$14</c:f>
              <c:numCache>
                <c:formatCode>0.00</c:formatCode>
                <c:ptCount val="8"/>
                <c:pt idx="0" formatCode="General">
                  <c:v>4.965E-2</c:v>
                </c:pt>
                <c:pt idx="1">
                  <c:v>1.1824999999999999</c:v>
                </c:pt>
                <c:pt idx="2" formatCode="General">
                  <c:v>3.9416666666666662E-2</c:v>
                </c:pt>
                <c:pt idx="3">
                  <c:v>0.34500000000000003</c:v>
                </c:pt>
                <c:pt idx="4" formatCode="General">
                  <c:v>2.8750000000000001E-2</c:v>
                </c:pt>
                <c:pt idx="5" formatCode="General">
                  <c:v>0.21149999999999999</c:v>
                </c:pt>
                <c:pt idx="6" formatCode="General">
                  <c:v>3.5249999999999997E-2</c:v>
                </c:pt>
                <c:pt idx="7" formatCode="General">
                  <c:v>0.21</c:v>
                </c:pt>
              </c:numCache>
            </c:numRef>
          </c:yVal>
          <c:smooth val="0"/>
        </c:ser>
        <c:ser>
          <c:idx val="18"/>
          <c:order val="10"/>
          <c:tx>
            <c:strRef>
              <c:f>'continuous passaging'!$K$16</c:f>
              <c:strCache>
                <c:ptCount val="1"/>
                <c:pt idx="0">
                  <c:v>leu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passaging'!$L$16:$S$16</c:f>
              <c:numCache>
                <c:formatCode>0.00</c:formatCode>
                <c:ptCount val="8"/>
                <c:pt idx="0" formatCode="General">
                  <c:v>4.965E-2</c:v>
                </c:pt>
                <c:pt idx="1">
                  <c:v>1.0874999999999999</c:v>
                </c:pt>
                <c:pt idx="2" formatCode="General">
                  <c:v>3.6249999999999998E-2</c:v>
                </c:pt>
                <c:pt idx="3">
                  <c:v>0.41250000000000003</c:v>
                </c:pt>
                <c:pt idx="4" formatCode="General">
                  <c:v>3.4375000000000003E-2</c:v>
                </c:pt>
                <c:pt idx="5" formatCode="General">
                  <c:v>0.23100000000000001</c:v>
                </c:pt>
                <c:pt idx="6" formatCode="General">
                  <c:v>3.85E-2</c:v>
                </c:pt>
                <c:pt idx="7" formatCode="General">
                  <c:v>0.25600000000000001</c:v>
                </c:pt>
              </c:numCache>
            </c:numRef>
          </c:yVal>
          <c:smooth val="0"/>
        </c:ser>
        <c:ser>
          <c:idx val="20"/>
          <c:order val="11"/>
          <c:tx>
            <c:strRef>
              <c:f>'continuous passaging'!$K$17</c:f>
              <c:strCache>
                <c:ptCount val="1"/>
                <c:pt idx="0">
                  <c:v>lys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passaging'!$L$17:$S$17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25"/>
          <c:order val="12"/>
          <c:tx>
            <c:strRef>
              <c:f>'continuous passaging'!$K$19</c:f>
              <c:strCache>
                <c:ptCount val="1"/>
                <c:pt idx="0">
                  <c:v>phe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passaging'!$L$19:$S$19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26"/>
          <c:order val="13"/>
          <c:tx>
            <c:strRef>
              <c:f>'continuous passaging'!$K$20</c:f>
              <c:strCache>
                <c:ptCount val="1"/>
                <c:pt idx="0">
                  <c:v>pro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passaging'!$L$20:$S$20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2"/>
          <c:order val="14"/>
          <c:tx>
            <c:strRef>
              <c:f>'continuous passaging'!$K$21</c:f>
              <c:strCache>
                <c:ptCount val="1"/>
                <c:pt idx="0">
                  <c:v>ser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passaging'!$L$21:$S$21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9"/>
          <c:order val="15"/>
          <c:tx>
            <c:strRef>
              <c:f>'continuous passaging'!$K$22</c:f>
              <c:strCache>
                <c:ptCount val="1"/>
                <c:pt idx="0">
                  <c:v>thr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passaging'!$L$22:$S$22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11"/>
          <c:order val="16"/>
          <c:tx>
            <c:strRef>
              <c:f>'continuous passaging'!$K$24</c:f>
              <c:strCache>
                <c:ptCount val="1"/>
                <c:pt idx="0">
                  <c:v>tyr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passaging'!$L$24:$S$24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14"/>
          <c:order val="17"/>
          <c:tx>
            <c:strRef>
              <c:f>'continuous passaging'!$K$26</c:f>
              <c:strCache>
                <c:ptCount val="1"/>
                <c:pt idx="0">
                  <c:v>cys/cyn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passaging'!$L$26:$S$26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21"/>
          <c:order val="18"/>
          <c:tx>
            <c:strRef>
              <c:f>'continuous passaging'!$K$28</c:f>
              <c:strCache>
                <c:ptCount val="1"/>
                <c:pt idx="0">
                  <c:v>gly/ser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passaging'!$L$28:$S$28</c:f>
              <c:numCache>
                <c:formatCode>0.00</c:formatCode>
                <c:ptCount val="8"/>
                <c:pt idx="0" formatCode="General">
                  <c:v>4.965E-2</c:v>
                </c:pt>
                <c:pt idx="1">
                  <c:v>0.97250000000000003</c:v>
                </c:pt>
                <c:pt idx="2" formatCode="General">
                  <c:v>2.1611111111111112E-2</c:v>
                </c:pt>
                <c:pt idx="3">
                  <c:v>0.85999999999999988</c:v>
                </c:pt>
                <c:pt idx="4" formatCode="General">
                  <c:v>2.8666666666666663E-2</c:v>
                </c:pt>
                <c:pt idx="5" formatCode="General">
                  <c:v>0.48699999999999999</c:v>
                </c:pt>
                <c:pt idx="6" formatCode="General">
                  <c:v>4.87E-2</c:v>
                </c:pt>
                <c:pt idx="7" formatCode="General">
                  <c:v>0.72199999999999998</c:v>
                </c:pt>
              </c:numCache>
            </c:numRef>
          </c:yVal>
          <c:smooth val="0"/>
        </c:ser>
        <c:ser>
          <c:idx val="23"/>
          <c:order val="19"/>
          <c:tx>
            <c:strRef>
              <c:f>'continuous passaging'!$K$29</c:f>
              <c:strCache>
                <c:ptCount val="1"/>
                <c:pt idx="0">
                  <c:v>asn/asp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passaging'!$L$29:$S$29</c:f>
              <c:numCache>
                <c:formatCode>General</c:formatCode>
                <c:ptCount val="8"/>
              </c:numCache>
            </c:numRef>
          </c:yVal>
          <c:smooth val="0"/>
        </c:ser>
        <c:ser>
          <c:idx val="24"/>
          <c:order val="20"/>
          <c:tx>
            <c:strRef>
              <c:f>'continuous passaging'!$K$30</c:f>
              <c:strCache>
                <c:ptCount val="1"/>
                <c:pt idx="0">
                  <c:v>cys/cyn/ser</c:v>
                </c:pt>
              </c:strCache>
            </c:strRef>
          </c:tx>
          <c:xVal>
            <c:numRef>
              <c:f>'continuous passaging'!$L$3:$S$3</c:f>
              <c:numCache>
                <c:formatCode>General</c:formatCode>
                <c:ptCount val="8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  <c:pt idx="6">
                  <c:v>72.010000000000005</c:v>
                </c:pt>
                <c:pt idx="7">
                  <c:v>96</c:v>
                </c:pt>
              </c:numCache>
            </c:numRef>
          </c:xVal>
          <c:yVal>
            <c:numRef>
              <c:f>'continuous passaging'!$L$30:$S$30</c:f>
              <c:numCache>
                <c:formatCode>General</c:formatCode>
                <c:ptCount val="8"/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6742528"/>
        <c:axId val="216748800"/>
      </c:scatterChart>
      <c:valAx>
        <c:axId val="216742528"/>
        <c:scaling>
          <c:orientation val="minMax"/>
          <c:max val="96"/>
        </c:scaling>
        <c:delete val="0"/>
        <c:axPos val="b"/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time (h)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16748800"/>
        <c:crosses val="autoZero"/>
        <c:crossBetween val="midCat"/>
        <c:majorUnit val="24"/>
      </c:valAx>
      <c:valAx>
        <c:axId val="216748800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final OD600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16742528"/>
        <c:crosses val="autoZero"/>
        <c:crossBetween val="midCat"/>
      </c:valAx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11"/>
        <c:delete val="1"/>
      </c:legendEntry>
      <c:legendEntry>
        <c:idx val="12"/>
        <c:delete val="1"/>
      </c:legendEntry>
      <c:legendEntry>
        <c:idx val="13"/>
        <c:delete val="1"/>
      </c:legendEntry>
      <c:legendEntry>
        <c:idx val="14"/>
        <c:delete val="1"/>
      </c:legendEntry>
      <c:legendEntry>
        <c:idx val="15"/>
        <c:delete val="1"/>
      </c:legendEntry>
      <c:legendEntry>
        <c:idx val="16"/>
        <c:delete val="1"/>
      </c:legendEntry>
      <c:legendEntry>
        <c:idx val="17"/>
        <c:delete val="1"/>
      </c:legendEntry>
      <c:legendEntry>
        <c:idx val="19"/>
        <c:delete val="1"/>
      </c:legendEntry>
      <c:layout>
        <c:manualLayout>
          <c:xMode val="edge"/>
          <c:yMode val="edge"/>
          <c:x val="0.81978967860805474"/>
          <c:y val="0.37232699080332426"/>
          <c:w val="0.18021032139194521"/>
          <c:h val="0.3966093923441484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800" i="1"/>
              <a:t>E. faecalis</a:t>
            </a:r>
            <a:r>
              <a:rPr lang="en-US" sz="1800" i="1" baseline="0"/>
              <a:t> </a:t>
            </a:r>
            <a:r>
              <a:rPr lang="en-US" sz="1800" baseline="0"/>
              <a:t>growth after re-inoculation </a:t>
            </a:r>
          </a:p>
          <a:p>
            <a:pPr>
              <a:defRPr sz="1400"/>
            </a:pPr>
            <a:r>
              <a:rPr lang="en-US" sz="1400" baseline="0"/>
              <a:t>in CDM media lacking a single / double amino acid(s) </a:t>
            </a:r>
            <a:endParaRPr lang="en-US" sz="1400"/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'validation GLY_SER'!$B$7</c:f>
              <c:strCache>
                <c:ptCount val="1"/>
                <c:pt idx="0">
                  <c:v>arg</c:v>
                </c:pt>
              </c:strCache>
            </c:strRef>
          </c:tx>
          <c:marker>
            <c:symbol val="star"/>
            <c:size val="7"/>
          </c:marker>
          <c:xVal>
            <c:numRef>
              <c:f>'validation GLY_SER'!$C$6:$H$6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'validation GLY_SER'!$C$7:$H$7</c:f>
              <c:numCache>
                <c:formatCode>0.00</c:formatCode>
                <c:ptCount val="6"/>
                <c:pt idx="0">
                  <c:v>0.05</c:v>
                </c:pt>
                <c:pt idx="1">
                  <c:v>3.2500000000000001E-2</c:v>
                </c:pt>
                <c:pt idx="2" formatCode="0.000">
                  <c:v>2.9545454545454545E-3</c:v>
                </c:pt>
                <c:pt idx="3">
                  <c:v>0.04</c:v>
                </c:pt>
                <c:pt idx="4">
                  <c:v>3.6363636363636364E-3</c:v>
                </c:pt>
                <c:pt idx="5">
                  <c:v>8.7500000000000008E-2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'validation GLY_SER'!$B$8</c:f>
              <c:strCache>
                <c:ptCount val="1"/>
                <c:pt idx="0">
                  <c:v>asn</c:v>
                </c:pt>
              </c:strCache>
            </c:strRef>
          </c:tx>
          <c:marker>
            <c:symbol val="triangle"/>
            <c:size val="7"/>
          </c:marker>
          <c:xVal>
            <c:numRef>
              <c:f>'validation GLY_SER'!$C$6:$H$6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'validation GLY_SER'!$C$8:$H$8</c:f>
              <c:numCache>
                <c:formatCode>0.00</c:formatCode>
                <c:ptCount val="6"/>
                <c:pt idx="0">
                  <c:v>0.05</c:v>
                </c:pt>
                <c:pt idx="1">
                  <c:v>2.3574999999999999</c:v>
                </c:pt>
                <c:pt idx="2" formatCode="0.000">
                  <c:v>2.3574999999999999E-2</c:v>
                </c:pt>
                <c:pt idx="3">
                  <c:v>2.415</c:v>
                </c:pt>
                <c:pt idx="4">
                  <c:v>2.4150000000000001E-2</c:v>
                </c:pt>
                <c:pt idx="5">
                  <c:v>2.2749999999999999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'validation GLY_SER'!$B$9</c:f>
              <c:strCache>
                <c:ptCount val="1"/>
                <c:pt idx="0">
                  <c:v>gln</c:v>
                </c:pt>
              </c:strCache>
            </c:strRef>
          </c:tx>
          <c:xVal>
            <c:numRef>
              <c:f>'validation GLY_SER'!$C$6:$H$6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'validation GLY_SER'!$C$9:$H$9</c:f>
              <c:numCache>
                <c:formatCode>0.00</c:formatCode>
                <c:ptCount val="6"/>
                <c:pt idx="0">
                  <c:v>0.05</c:v>
                </c:pt>
                <c:pt idx="1">
                  <c:v>2.3250000000000002</c:v>
                </c:pt>
                <c:pt idx="2" formatCode="0.000">
                  <c:v>2.3250000000000003E-2</c:v>
                </c:pt>
                <c:pt idx="3">
                  <c:v>2.3649999999999998</c:v>
                </c:pt>
                <c:pt idx="4">
                  <c:v>2.3649999999999997E-2</c:v>
                </c:pt>
                <c:pt idx="5">
                  <c:v>2.3874999999999997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'validation GLY_SER'!$B$10</c:f>
              <c:strCache>
                <c:ptCount val="1"/>
                <c:pt idx="0">
                  <c:v>gly</c:v>
                </c:pt>
              </c:strCache>
            </c:strRef>
          </c:tx>
          <c:marker>
            <c:symbol val="circle"/>
            <c:size val="9"/>
          </c:marker>
          <c:xVal>
            <c:numRef>
              <c:f>'validation GLY_SER'!$C$6:$H$6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'validation GLY_SER'!$C$10:$H$10</c:f>
              <c:numCache>
                <c:formatCode>0.00</c:formatCode>
                <c:ptCount val="6"/>
                <c:pt idx="0">
                  <c:v>0.05</c:v>
                </c:pt>
                <c:pt idx="1">
                  <c:v>0.34500000000000003</c:v>
                </c:pt>
                <c:pt idx="2" formatCode="0.000">
                  <c:v>3.1363636363636364E-2</c:v>
                </c:pt>
                <c:pt idx="3">
                  <c:v>0.36499999999999999</c:v>
                </c:pt>
                <c:pt idx="4">
                  <c:v>3.318181818181818E-2</c:v>
                </c:pt>
                <c:pt idx="5">
                  <c:v>0.59749999999999992</c:v>
                </c:pt>
              </c:numCache>
            </c:numRef>
          </c:yVal>
          <c:smooth val="0"/>
        </c:ser>
        <c:ser>
          <c:idx val="4"/>
          <c:order val="4"/>
          <c:tx>
            <c:strRef>
              <c:f>'validation GLY_SER'!$B$11</c:f>
              <c:strCache>
                <c:ptCount val="1"/>
                <c:pt idx="0">
                  <c:v>his</c:v>
                </c:pt>
              </c:strCache>
            </c:strRef>
          </c:tx>
          <c:xVal>
            <c:numRef>
              <c:f>'validation GLY_SER'!$C$6:$H$6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'validation GLY_SER'!$C$11:$H$11</c:f>
              <c:numCache>
                <c:formatCode>0.00</c:formatCode>
                <c:ptCount val="6"/>
                <c:pt idx="0">
                  <c:v>0.05</c:v>
                </c:pt>
                <c:pt idx="1">
                  <c:v>0.155</c:v>
                </c:pt>
                <c:pt idx="2" formatCode="0.000">
                  <c:v>1.4090909090909091E-2</c:v>
                </c:pt>
                <c:pt idx="3">
                  <c:v>7.0000000000000007E-2</c:v>
                </c:pt>
                <c:pt idx="4">
                  <c:v>6.3636363636363638E-3</c:v>
                </c:pt>
                <c:pt idx="5">
                  <c:v>6.25E-2</c:v>
                </c:pt>
              </c:numCache>
            </c:numRef>
          </c:yVal>
          <c:smooth val="0"/>
        </c:ser>
        <c:ser>
          <c:idx val="5"/>
          <c:order val="5"/>
          <c:tx>
            <c:strRef>
              <c:f>'validation GLY_SER'!$B$12</c:f>
              <c:strCache>
                <c:ptCount val="1"/>
                <c:pt idx="0">
                  <c:v>leu</c:v>
                </c:pt>
              </c:strCache>
            </c:strRef>
          </c:tx>
          <c:marker>
            <c:symbol val="star"/>
            <c:size val="7"/>
          </c:marker>
          <c:xVal>
            <c:numRef>
              <c:f>'validation GLY_SER'!$C$6:$H$6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'validation GLY_SER'!$C$12:$H$12</c:f>
              <c:numCache>
                <c:formatCode>0.00</c:formatCode>
                <c:ptCount val="6"/>
                <c:pt idx="0">
                  <c:v>0.05</c:v>
                </c:pt>
                <c:pt idx="1">
                  <c:v>0.14499999999999999</c:v>
                </c:pt>
                <c:pt idx="2" formatCode="0.000">
                  <c:v>1.3181818181818182E-2</c:v>
                </c:pt>
                <c:pt idx="3">
                  <c:v>8.5000000000000006E-2</c:v>
                </c:pt>
                <c:pt idx="4">
                  <c:v>7.7272727272727276E-3</c:v>
                </c:pt>
                <c:pt idx="5">
                  <c:v>0.13</c:v>
                </c:pt>
              </c:numCache>
            </c:numRef>
          </c:yVal>
          <c:smooth val="0"/>
        </c:ser>
        <c:ser>
          <c:idx val="6"/>
          <c:order val="6"/>
          <c:tx>
            <c:strRef>
              <c:f>'validation GLY_SER'!$B$13</c:f>
              <c:strCache>
                <c:ptCount val="1"/>
                <c:pt idx="0">
                  <c:v>gly/ser</c:v>
                </c:pt>
              </c:strCache>
            </c:strRef>
          </c:tx>
          <c:marker>
            <c:symbol val="circle"/>
            <c:size val="9"/>
          </c:marker>
          <c:xVal>
            <c:numRef>
              <c:f>'validation GLY_SER'!$C$6:$H$6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'validation GLY_SER'!$C$13:$H$13</c:f>
              <c:numCache>
                <c:formatCode>0.00</c:formatCode>
                <c:ptCount val="6"/>
                <c:pt idx="0">
                  <c:v>0.05</c:v>
                </c:pt>
                <c:pt idx="1">
                  <c:v>0.46750000000000003</c:v>
                </c:pt>
                <c:pt idx="2" formatCode="0.000">
                  <c:v>2.2261904761904764E-2</c:v>
                </c:pt>
                <c:pt idx="3">
                  <c:v>0.46499999999999997</c:v>
                </c:pt>
                <c:pt idx="4">
                  <c:v>2.2142857142857141E-2</c:v>
                </c:pt>
                <c:pt idx="5">
                  <c:v>0.82000000000000006</c:v>
                </c:pt>
              </c:numCache>
            </c:numRef>
          </c:yVal>
          <c:smooth val="0"/>
        </c:ser>
        <c:ser>
          <c:idx val="7"/>
          <c:order val="7"/>
          <c:tx>
            <c:strRef>
              <c:f>'validation GLY_SER'!$B$14</c:f>
              <c:strCache>
                <c:ptCount val="1"/>
                <c:pt idx="0">
                  <c:v>asn/asp</c:v>
                </c:pt>
              </c:strCache>
            </c:strRef>
          </c:tx>
          <c:marker>
            <c:symbol val="triangle"/>
            <c:size val="7"/>
          </c:marker>
          <c:xVal>
            <c:numRef>
              <c:f>'validation GLY_SER'!$C$6:$H$6</c:f>
              <c:numCache>
                <c:formatCode>General</c:formatCode>
                <c:ptCount val="6"/>
                <c:pt idx="0">
                  <c:v>0</c:v>
                </c:pt>
                <c:pt idx="1">
                  <c:v>24</c:v>
                </c:pt>
                <c:pt idx="2">
                  <c:v>24.01</c:v>
                </c:pt>
                <c:pt idx="3">
                  <c:v>48</c:v>
                </c:pt>
                <c:pt idx="4">
                  <c:v>48.01</c:v>
                </c:pt>
                <c:pt idx="5">
                  <c:v>72</c:v>
                </c:pt>
              </c:numCache>
            </c:numRef>
          </c:xVal>
          <c:yVal>
            <c:numRef>
              <c:f>'validation GLY_SER'!$C$14:$H$14</c:f>
              <c:numCache>
                <c:formatCode>0.00</c:formatCode>
                <c:ptCount val="6"/>
                <c:pt idx="0">
                  <c:v>0.05</c:v>
                </c:pt>
                <c:pt idx="1">
                  <c:v>2.3624999999999998</c:v>
                </c:pt>
                <c:pt idx="2" formatCode="0.000">
                  <c:v>2.3624999999999997E-2</c:v>
                </c:pt>
                <c:pt idx="3">
                  <c:v>2.3050000000000002</c:v>
                </c:pt>
                <c:pt idx="4">
                  <c:v>2.3050000000000001E-2</c:v>
                </c:pt>
                <c:pt idx="5">
                  <c:v>2.3200000000000003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6897024"/>
        <c:axId val="216898944"/>
      </c:scatterChart>
      <c:valAx>
        <c:axId val="216897024"/>
        <c:scaling>
          <c:orientation val="minMax"/>
          <c:max val="72"/>
        </c:scaling>
        <c:delete val="0"/>
        <c:axPos val="b"/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time (hour)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16898944"/>
        <c:crosses val="autoZero"/>
        <c:crossBetween val="midCat"/>
        <c:majorUnit val="24"/>
      </c:valAx>
      <c:valAx>
        <c:axId val="216898944"/>
        <c:scaling>
          <c:orientation val="minMax"/>
          <c:max val="2.5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OD600 </a:t>
                </a:r>
              </a:p>
            </c:rich>
          </c:tx>
          <c:layout/>
          <c:overlay val="0"/>
        </c:title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216897024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4761</xdr:colOff>
      <xdr:row>6</xdr:row>
      <xdr:rowOff>23811</xdr:rowOff>
    </xdr:from>
    <xdr:to>
      <xdr:col>23</xdr:col>
      <xdr:colOff>142874</xdr:colOff>
      <xdr:row>36</xdr:row>
      <xdr:rowOff>180974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42862</xdr:colOff>
      <xdr:row>35</xdr:row>
      <xdr:rowOff>23811</xdr:rowOff>
    </xdr:from>
    <xdr:to>
      <xdr:col>8</xdr:col>
      <xdr:colOff>104775</xdr:colOff>
      <xdr:row>60</xdr:row>
      <xdr:rowOff>152400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</xdr:row>
      <xdr:rowOff>23810</xdr:rowOff>
    </xdr:from>
    <xdr:to>
      <xdr:col>8</xdr:col>
      <xdr:colOff>200025</xdr:colOff>
      <xdr:row>68</xdr:row>
      <xdr:rowOff>114299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32</xdr:row>
      <xdr:rowOff>0</xdr:rowOff>
    </xdr:from>
    <xdr:to>
      <xdr:col>18</xdr:col>
      <xdr:colOff>266700</xdr:colOff>
      <xdr:row>68</xdr:row>
      <xdr:rowOff>90489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14286</xdr:colOff>
      <xdr:row>15</xdr:row>
      <xdr:rowOff>185736</xdr:rowOff>
    </xdr:from>
    <xdr:to>
      <xdr:col>10</xdr:col>
      <xdr:colOff>314325</xdr:colOff>
      <xdr:row>46</xdr:row>
      <xdr:rowOff>133350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4"/>
  <sheetViews>
    <sheetView topLeftCell="A19" workbookViewId="0">
      <selection activeCell="A44" sqref="A44"/>
    </sheetView>
  </sheetViews>
  <sheetFormatPr defaultRowHeight="15" x14ac:dyDescent="0.25"/>
  <cols>
    <col min="1" max="1" width="16" bestFit="1" customWidth="1"/>
    <col min="13" max="13" width="16" bestFit="1" customWidth="1"/>
    <col min="25" max="25" width="16" bestFit="1" customWidth="1"/>
  </cols>
  <sheetData>
    <row r="1" spans="1:33" ht="26.25" x14ac:dyDescent="0.4">
      <c r="A1" s="1" t="s">
        <v>0</v>
      </c>
    </row>
    <row r="2" spans="1:33" ht="21" x14ac:dyDescent="0.35">
      <c r="A2" s="2"/>
    </row>
    <row r="3" spans="1:33" x14ac:dyDescent="0.25">
      <c r="A3" s="3"/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/>
      <c r="N3" s="4" t="s">
        <v>12</v>
      </c>
      <c r="O3" s="4" t="s">
        <v>13</v>
      </c>
      <c r="P3" s="4" t="s">
        <v>14</v>
      </c>
      <c r="Q3" s="4" t="s">
        <v>15</v>
      </c>
      <c r="R3" s="4" t="s">
        <v>16</v>
      </c>
      <c r="S3" s="4" t="s">
        <v>17</v>
      </c>
      <c r="T3" s="4" t="s">
        <v>18</v>
      </c>
      <c r="U3" s="4" t="s">
        <v>19</v>
      </c>
      <c r="V3" s="4" t="s">
        <v>20</v>
      </c>
      <c r="W3" s="4" t="s">
        <v>21</v>
      </c>
      <c r="X3" s="4" t="s">
        <v>22</v>
      </c>
      <c r="Y3" s="4"/>
      <c r="Z3" s="4" t="s">
        <v>23</v>
      </c>
      <c r="AA3" s="4" t="s">
        <v>24</v>
      </c>
      <c r="AB3" s="4" t="s">
        <v>25</v>
      </c>
      <c r="AC3" s="4" t="s">
        <v>26</v>
      </c>
      <c r="AD3" s="4" t="s">
        <v>27</v>
      </c>
      <c r="AE3" s="5" t="s">
        <v>28</v>
      </c>
      <c r="AG3" s="5" t="s">
        <v>29</v>
      </c>
    </row>
    <row r="4" spans="1:33" x14ac:dyDescent="0.25">
      <c r="A4" s="3"/>
      <c r="B4" s="4" t="s">
        <v>30</v>
      </c>
      <c r="C4" s="6" t="s">
        <v>31</v>
      </c>
      <c r="D4" s="6" t="s">
        <v>32</v>
      </c>
      <c r="E4" s="6" t="s">
        <v>33</v>
      </c>
      <c r="F4" s="6" t="s">
        <v>34</v>
      </c>
      <c r="G4" s="6" t="s">
        <v>35</v>
      </c>
      <c r="H4" s="7" t="s">
        <v>36</v>
      </c>
      <c r="I4" s="6" t="s">
        <v>37</v>
      </c>
      <c r="J4" s="6" t="s">
        <v>38</v>
      </c>
      <c r="K4" s="6" t="s">
        <v>39</v>
      </c>
      <c r="L4" s="6" t="s">
        <v>40</v>
      </c>
      <c r="N4" s="6" t="s">
        <v>41</v>
      </c>
      <c r="O4" s="6" t="s">
        <v>42</v>
      </c>
      <c r="P4" s="6" t="s">
        <v>43</v>
      </c>
      <c r="Q4" s="6" t="s">
        <v>44</v>
      </c>
      <c r="R4" s="6" t="s">
        <v>45</v>
      </c>
      <c r="S4" s="6" t="s">
        <v>46</v>
      </c>
      <c r="T4" s="6" t="s">
        <v>47</v>
      </c>
      <c r="U4" s="6" t="s">
        <v>48</v>
      </c>
      <c r="V4" s="6" t="s">
        <v>49</v>
      </c>
      <c r="W4" s="6" t="s">
        <v>50</v>
      </c>
      <c r="X4" s="6" t="s">
        <v>51</v>
      </c>
      <c r="Y4" s="6"/>
      <c r="Z4" s="7" t="s">
        <v>52</v>
      </c>
      <c r="AA4" s="7" t="s">
        <v>53</v>
      </c>
      <c r="AB4" s="7" t="s">
        <v>54</v>
      </c>
      <c r="AC4" s="7" t="s">
        <v>55</v>
      </c>
      <c r="AD4" s="7" t="s">
        <v>56</v>
      </c>
      <c r="AE4" s="7" t="s">
        <v>57</v>
      </c>
      <c r="AG4" s="6" t="s">
        <v>58</v>
      </c>
    </row>
    <row r="5" spans="1:33" x14ac:dyDescent="0.25">
      <c r="A5" s="8" t="s">
        <v>59</v>
      </c>
      <c r="B5" s="9">
        <v>25</v>
      </c>
      <c r="C5" s="9">
        <v>25</v>
      </c>
      <c r="D5" s="9">
        <v>25</v>
      </c>
      <c r="E5" s="9">
        <v>25</v>
      </c>
      <c r="F5" s="9">
        <v>25</v>
      </c>
      <c r="G5" s="9">
        <v>25</v>
      </c>
      <c r="H5" s="9">
        <v>25</v>
      </c>
      <c r="I5" s="9">
        <v>25</v>
      </c>
      <c r="J5" s="9">
        <v>25</v>
      </c>
      <c r="K5" s="9">
        <v>25</v>
      </c>
      <c r="L5" s="9">
        <v>25</v>
      </c>
      <c r="M5" s="8" t="s">
        <v>60</v>
      </c>
      <c r="N5" s="9">
        <v>25</v>
      </c>
      <c r="O5" s="9">
        <v>25</v>
      </c>
      <c r="P5" s="9">
        <v>25</v>
      </c>
      <c r="Q5" s="9">
        <v>25</v>
      </c>
      <c r="R5" s="9">
        <v>25</v>
      </c>
      <c r="S5" s="9">
        <v>25</v>
      </c>
      <c r="T5" s="9">
        <v>25</v>
      </c>
      <c r="U5" s="9">
        <v>25</v>
      </c>
      <c r="V5" s="9">
        <v>25</v>
      </c>
      <c r="W5" s="9">
        <v>25</v>
      </c>
      <c r="X5" s="9">
        <v>25</v>
      </c>
      <c r="Y5" s="8" t="s">
        <v>60</v>
      </c>
      <c r="Z5" s="10">
        <v>25</v>
      </c>
      <c r="AA5" s="10">
        <v>25</v>
      </c>
      <c r="AB5" s="10">
        <v>25</v>
      </c>
      <c r="AC5" s="10">
        <v>25</v>
      </c>
      <c r="AD5" s="10">
        <v>25</v>
      </c>
      <c r="AE5" s="10">
        <v>25</v>
      </c>
      <c r="AG5">
        <f t="shared" ref="AG5:AG33" si="0">SUM(B5:AE5)</f>
        <v>700</v>
      </c>
    </row>
    <row r="6" spans="1:33" x14ac:dyDescent="0.25">
      <c r="A6" s="8" t="s">
        <v>61</v>
      </c>
      <c r="B6" s="9">
        <v>2</v>
      </c>
      <c r="C6" s="9">
        <v>2</v>
      </c>
      <c r="D6" s="9">
        <v>2</v>
      </c>
      <c r="E6" s="9">
        <v>2</v>
      </c>
      <c r="F6" s="9">
        <v>2</v>
      </c>
      <c r="G6" s="9">
        <v>2</v>
      </c>
      <c r="H6" s="9">
        <v>2</v>
      </c>
      <c r="I6" s="9">
        <v>2</v>
      </c>
      <c r="J6" s="9">
        <v>2</v>
      </c>
      <c r="K6" s="9">
        <v>2</v>
      </c>
      <c r="L6" s="9">
        <v>2</v>
      </c>
      <c r="M6" s="8" t="s">
        <v>61</v>
      </c>
      <c r="N6" s="9">
        <v>2</v>
      </c>
      <c r="O6" s="9">
        <v>2</v>
      </c>
      <c r="P6" s="9">
        <v>2</v>
      </c>
      <c r="Q6" s="9">
        <v>2</v>
      </c>
      <c r="R6" s="9">
        <v>2</v>
      </c>
      <c r="S6" s="9">
        <v>2</v>
      </c>
      <c r="T6" s="9">
        <v>2</v>
      </c>
      <c r="U6" s="9">
        <v>2</v>
      </c>
      <c r="V6" s="9">
        <v>2</v>
      </c>
      <c r="W6" s="9">
        <v>2</v>
      </c>
      <c r="X6" s="9">
        <v>2</v>
      </c>
      <c r="Y6" s="8" t="s">
        <v>61</v>
      </c>
      <c r="Z6" s="10">
        <v>2</v>
      </c>
      <c r="AA6" s="10">
        <v>2</v>
      </c>
      <c r="AB6" s="10">
        <v>2</v>
      </c>
      <c r="AC6" s="10">
        <v>2</v>
      </c>
      <c r="AD6" s="10">
        <v>2</v>
      </c>
      <c r="AE6" s="10">
        <v>2</v>
      </c>
      <c r="AG6">
        <f t="shared" si="0"/>
        <v>56</v>
      </c>
    </row>
    <row r="7" spans="1:33" x14ac:dyDescent="0.25">
      <c r="A7" s="8" t="s">
        <v>62</v>
      </c>
      <c r="B7" s="9">
        <v>5</v>
      </c>
      <c r="C7" s="9">
        <v>5</v>
      </c>
      <c r="D7" s="9">
        <v>5</v>
      </c>
      <c r="E7" s="9">
        <v>5</v>
      </c>
      <c r="F7" s="9">
        <v>5</v>
      </c>
      <c r="G7" s="9">
        <v>5</v>
      </c>
      <c r="H7" s="9">
        <v>5</v>
      </c>
      <c r="I7" s="9">
        <v>5</v>
      </c>
      <c r="J7" s="9">
        <v>5</v>
      </c>
      <c r="K7" s="9">
        <v>5</v>
      </c>
      <c r="L7" s="9">
        <v>5</v>
      </c>
      <c r="M7" s="8" t="s">
        <v>62</v>
      </c>
      <c r="N7" s="9">
        <v>5</v>
      </c>
      <c r="O7" s="9">
        <v>5</v>
      </c>
      <c r="P7" s="9">
        <v>5</v>
      </c>
      <c r="Q7" s="9">
        <v>5</v>
      </c>
      <c r="R7" s="9">
        <v>5</v>
      </c>
      <c r="S7" s="9">
        <v>5</v>
      </c>
      <c r="T7" s="9">
        <v>5</v>
      </c>
      <c r="U7" s="9">
        <v>5</v>
      </c>
      <c r="V7" s="9">
        <v>5</v>
      </c>
      <c r="W7" s="9">
        <v>5</v>
      </c>
      <c r="X7" s="9">
        <v>5</v>
      </c>
      <c r="Y7" s="8" t="s">
        <v>62</v>
      </c>
      <c r="Z7" s="10">
        <v>5</v>
      </c>
      <c r="AA7" s="10">
        <v>5</v>
      </c>
      <c r="AB7" s="10">
        <v>5</v>
      </c>
      <c r="AC7" s="10">
        <v>5</v>
      </c>
      <c r="AD7" s="10">
        <v>5</v>
      </c>
      <c r="AE7" s="10">
        <v>5</v>
      </c>
      <c r="AG7">
        <f t="shared" si="0"/>
        <v>140</v>
      </c>
    </row>
    <row r="8" spans="1:33" x14ac:dyDescent="0.25">
      <c r="A8" s="8" t="s">
        <v>63</v>
      </c>
      <c r="B8" s="9">
        <v>1</v>
      </c>
      <c r="C8" s="9">
        <v>1</v>
      </c>
      <c r="D8" s="9">
        <v>1</v>
      </c>
      <c r="E8" s="9">
        <v>1</v>
      </c>
      <c r="F8" s="9">
        <v>1</v>
      </c>
      <c r="G8" s="9">
        <v>1</v>
      </c>
      <c r="H8" s="9">
        <v>1</v>
      </c>
      <c r="I8" s="9">
        <v>1</v>
      </c>
      <c r="J8" s="9">
        <v>1</v>
      </c>
      <c r="K8" s="9">
        <v>1</v>
      </c>
      <c r="L8" s="9">
        <v>1</v>
      </c>
      <c r="M8" s="8" t="s">
        <v>63</v>
      </c>
      <c r="N8" s="9">
        <v>1</v>
      </c>
      <c r="O8" s="9">
        <v>1</v>
      </c>
      <c r="P8" s="9">
        <v>1</v>
      </c>
      <c r="Q8" s="9">
        <v>1</v>
      </c>
      <c r="R8" s="9">
        <v>1</v>
      </c>
      <c r="S8" s="9">
        <v>1</v>
      </c>
      <c r="T8" s="9">
        <v>1</v>
      </c>
      <c r="U8" s="9">
        <v>1</v>
      </c>
      <c r="V8" s="9">
        <v>1</v>
      </c>
      <c r="W8" s="9">
        <v>1</v>
      </c>
      <c r="X8" s="9">
        <v>1</v>
      </c>
      <c r="Y8" s="8" t="s">
        <v>63</v>
      </c>
      <c r="Z8" s="10">
        <v>1</v>
      </c>
      <c r="AA8" s="10">
        <v>1</v>
      </c>
      <c r="AB8" s="10">
        <v>1</v>
      </c>
      <c r="AC8" s="10">
        <v>1</v>
      </c>
      <c r="AD8" s="10">
        <v>1</v>
      </c>
      <c r="AE8" s="10">
        <v>1</v>
      </c>
      <c r="AG8">
        <f t="shared" si="0"/>
        <v>28</v>
      </c>
    </row>
    <row r="9" spans="1:33" x14ac:dyDescent="0.25">
      <c r="A9" s="8" t="s">
        <v>64</v>
      </c>
      <c r="B9" s="9">
        <v>1</v>
      </c>
      <c r="C9" s="9">
        <v>1</v>
      </c>
      <c r="D9" s="9">
        <v>1</v>
      </c>
      <c r="E9" s="9">
        <v>1</v>
      </c>
      <c r="F9" s="9">
        <v>1</v>
      </c>
      <c r="G9" s="9">
        <v>1</v>
      </c>
      <c r="H9" s="9">
        <v>1</v>
      </c>
      <c r="I9" s="9">
        <v>1</v>
      </c>
      <c r="J9" s="9">
        <v>1</v>
      </c>
      <c r="K9" s="9">
        <v>1</v>
      </c>
      <c r="L9" s="9">
        <v>1</v>
      </c>
      <c r="M9" s="8" t="s">
        <v>64</v>
      </c>
      <c r="N9" s="9">
        <v>1</v>
      </c>
      <c r="O9" s="9">
        <v>1</v>
      </c>
      <c r="P9" s="9">
        <v>1</v>
      </c>
      <c r="Q9" s="9">
        <v>1</v>
      </c>
      <c r="R9" s="9">
        <v>1</v>
      </c>
      <c r="S9" s="9">
        <v>1</v>
      </c>
      <c r="T9" s="9">
        <v>1</v>
      </c>
      <c r="U9" s="9">
        <v>1</v>
      </c>
      <c r="V9" s="9">
        <v>1</v>
      </c>
      <c r="W9" s="9">
        <v>1</v>
      </c>
      <c r="X9" s="9">
        <v>1</v>
      </c>
      <c r="Y9" s="8" t="s">
        <v>64</v>
      </c>
      <c r="Z9" s="10">
        <v>1</v>
      </c>
      <c r="AA9" s="10">
        <v>1</v>
      </c>
      <c r="AB9" s="10">
        <v>1</v>
      </c>
      <c r="AC9" s="10">
        <v>1</v>
      </c>
      <c r="AD9" s="10">
        <v>1</v>
      </c>
      <c r="AE9" s="10">
        <v>1</v>
      </c>
      <c r="AG9">
        <f t="shared" si="0"/>
        <v>28</v>
      </c>
    </row>
    <row r="10" spans="1:33" x14ac:dyDescent="0.25">
      <c r="A10" s="11" t="s">
        <v>65</v>
      </c>
      <c r="B10" s="12">
        <v>1</v>
      </c>
      <c r="C10" s="13">
        <v>0</v>
      </c>
      <c r="D10" s="12">
        <v>1</v>
      </c>
      <c r="E10" s="12">
        <v>1</v>
      </c>
      <c r="F10" s="12">
        <v>1</v>
      </c>
      <c r="G10" s="12">
        <v>1</v>
      </c>
      <c r="H10" s="12">
        <v>1</v>
      </c>
      <c r="I10" s="12">
        <v>1</v>
      </c>
      <c r="J10" s="12">
        <v>1</v>
      </c>
      <c r="K10" s="12">
        <v>1</v>
      </c>
      <c r="L10" s="12">
        <v>1</v>
      </c>
      <c r="M10" s="11" t="s">
        <v>65</v>
      </c>
      <c r="N10" s="12">
        <v>1</v>
      </c>
      <c r="O10" s="12">
        <v>1</v>
      </c>
      <c r="P10" s="12">
        <v>1</v>
      </c>
      <c r="Q10" s="12">
        <v>1</v>
      </c>
      <c r="R10" s="12">
        <v>1</v>
      </c>
      <c r="S10" s="12">
        <v>1</v>
      </c>
      <c r="T10" s="12">
        <v>1</v>
      </c>
      <c r="U10" s="12">
        <v>1</v>
      </c>
      <c r="V10" s="12">
        <v>1</v>
      </c>
      <c r="W10" s="12">
        <v>1</v>
      </c>
      <c r="X10" s="12">
        <v>1</v>
      </c>
      <c r="Y10" s="11" t="s">
        <v>65</v>
      </c>
      <c r="Z10" s="14">
        <v>1</v>
      </c>
      <c r="AA10" s="14">
        <v>1</v>
      </c>
      <c r="AB10" s="14">
        <v>1</v>
      </c>
      <c r="AC10" s="14">
        <v>1</v>
      </c>
      <c r="AD10" s="14">
        <v>1</v>
      </c>
      <c r="AE10" s="14">
        <v>0</v>
      </c>
      <c r="AG10">
        <f t="shared" si="0"/>
        <v>26</v>
      </c>
    </row>
    <row r="11" spans="1:33" x14ac:dyDescent="0.25">
      <c r="A11" s="15" t="s">
        <v>66</v>
      </c>
      <c r="B11" s="9">
        <v>1</v>
      </c>
      <c r="C11" s="9">
        <v>1</v>
      </c>
      <c r="D11" s="4">
        <v>0</v>
      </c>
      <c r="E11" s="9">
        <v>1</v>
      </c>
      <c r="F11" s="9">
        <v>1</v>
      </c>
      <c r="G11" s="9">
        <v>1</v>
      </c>
      <c r="H11" s="9">
        <v>1</v>
      </c>
      <c r="I11" s="9">
        <v>1</v>
      </c>
      <c r="J11" s="9">
        <v>1</v>
      </c>
      <c r="K11" s="9">
        <v>1</v>
      </c>
      <c r="L11" s="9">
        <v>1</v>
      </c>
      <c r="M11" s="15" t="s">
        <v>66</v>
      </c>
      <c r="N11" s="9">
        <v>1</v>
      </c>
      <c r="O11" s="9">
        <v>1</v>
      </c>
      <c r="P11" s="9">
        <v>1</v>
      </c>
      <c r="Q11" s="9">
        <v>1</v>
      </c>
      <c r="R11" s="9">
        <v>1</v>
      </c>
      <c r="S11" s="9">
        <v>1</v>
      </c>
      <c r="T11" s="9">
        <v>1</v>
      </c>
      <c r="U11" s="9">
        <v>1</v>
      </c>
      <c r="V11" s="9">
        <v>1</v>
      </c>
      <c r="W11" s="9">
        <v>1</v>
      </c>
      <c r="X11" s="9">
        <v>1</v>
      </c>
      <c r="Y11" s="15" t="s">
        <v>66</v>
      </c>
      <c r="Z11" s="10">
        <v>1</v>
      </c>
      <c r="AA11" s="10">
        <v>1</v>
      </c>
      <c r="AB11" s="10">
        <v>1</v>
      </c>
      <c r="AC11" s="10">
        <v>1</v>
      </c>
      <c r="AD11" s="10">
        <v>1</v>
      </c>
      <c r="AE11" s="10">
        <v>0</v>
      </c>
      <c r="AG11">
        <f t="shared" si="0"/>
        <v>26</v>
      </c>
    </row>
    <row r="12" spans="1:33" x14ac:dyDescent="0.25">
      <c r="A12" s="11" t="s">
        <v>67</v>
      </c>
      <c r="B12" s="12">
        <v>1</v>
      </c>
      <c r="C12" s="12">
        <v>1</v>
      </c>
      <c r="D12" s="12">
        <v>1</v>
      </c>
      <c r="E12" s="13">
        <v>0</v>
      </c>
      <c r="F12" s="12">
        <v>1</v>
      </c>
      <c r="G12" s="12">
        <v>1</v>
      </c>
      <c r="H12" s="12">
        <v>1</v>
      </c>
      <c r="I12" s="12">
        <v>1</v>
      </c>
      <c r="J12" s="12">
        <v>1</v>
      </c>
      <c r="K12" s="12">
        <v>1</v>
      </c>
      <c r="L12" s="12">
        <v>1</v>
      </c>
      <c r="M12" s="11" t="s">
        <v>67</v>
      </c>
      <c r="N12" s="12">
        <v>1</v>
      </c>
      <c r="O12" s="12">
        <v>1</v>
      </c>
      <c r="P12" s="12">
        <v>1</v>
      </c>
      <c r="Q12" s="12">
        <v>1</v>
      </c>
      <c r="R12" s="12">
        <v>1</v>
      </c>
      <c r="S12" s="12">
        <v>1</v>
      </c>
      <c r="T12" s="12">
        <v>1</v>
      </c>
      <c r="U12" s="12">
        <v>1</v>
      </c>
      <c r="V12" s="12">
        <v>1</v>
      </c>
      <c r="W12" s="12">
        <v>1</v>
      </c>
      <c r="X12" s="12">
        <v>1</v>
      </c>
      <c r="Y12" s="11" t="s">
        <v>67</v>
      </c>
      <c r="Z12" s="14">
        <v>1</v>
      </c>
      <c r="AA12" s="14">
        <v>1</v>
      </c>
      <c r="AB12" s="14">
        <v>1</v>
      </c>
      <c r="AC12" s="16">
        <v>0</v>
      </c>
      <c r="AD12" s="14">
        <v>1</v>
      </c>
      <c r="AE12" s="14">
        <v>0</v>
      </c>
      <c r="AG12">
        <f t="shared" si="0"/>
        <v>25</v>
      </c>
    </row>
    <row r="13" spans="1:33" x14ac:dyDescent="0.25">
      <c r="A13" s="15" t="s">
        <v>68</v>
      </c>
      <c r="B13" s="9">
        <v>10</v>
      </c>
      <c r="C13" s="9">
        <v>10</v>
      </c>
      <c r="D13" s="9">
        <v>10</v>
      </c>
      <c r="E13" s="9">
        <v>10</v>
      </c>
      <c r="F13" s="4">
        <v>0</v>
      </c>
      <c r="G13" s="9">
        <v>10</v>
      </c>
      <c r="H13" s="9">
        <v>10</v>
      </c>
      <c r="I13" s="9">
        <v>10</v>
      </c>
      <c r="J13" s="9">
        <v>10</v>
      </c>
      <c r="K13" s="9">
        <v>10</v>
      </c>
      <c r="L13" s="9">
        <v>10</v>
      </c>
      <c r="M13" s="15" t="s">
        <v>68</v>
      </c>
      <c r="N13" s="9">
        <v>10</v>
      </c>
      <c r="O13" s="9">
        <v>10</v>
      </c>
      <c r="P13" s="9">
        <v>10</v>
      </c>
      <c r="Q13" s="9">
        <v>10</v>
      </c>
      <c r="R13" s="9">
        <v>10</v>
      </c>
      <c r="S13" s="9">
        <v>10</v>
      </c>
      <c r="T13" s="9">
        <v>10</v>
      </c>
      <c r="U13" s="9">
        <v>10</v>
      </c>
      <c r="V13" s="9">
        <v>10</v>
      </c>
      <c r="W13" s="9">
        <v>10</v>
      </c>
      <c r="X13" s="9">
        <v>10</v>
      </c>
      <c r="Y13" s="15" t="s">
        <v>68</v>
      </c>
      <c r="Z13" s="10">
        <v>10</v>
      </c>
      <c r="AA13" s="10">
        <v>10</v>
      </c>
      <c r="AB13" s="10">
        <v>10</v>
      </c>
      <c r="AC13" s="5">
        <v>0</v>
      </c>
      <c r="AD13" s="10">
        <v>10</v>
      </c>
      <c r="AE13" s="10">
        <v>0</v>
      </c>
      <c r="AG13">
        <f t="shared" si="0"/>
        <v>250</v>
      </c>
    </row>
    <row r="14" spans="1:33" x14ac:dyDescent="0.25">
      <c r="A14" s="11" t="s">
        <v>69</v>
      </c>
      <c r="B14" s="12">
        <v>1</v>
      </c>
      <c r="C14" s="12">
        <v>1</v>
      </c>
      <c r="D14" s="12">
        <v>1</v>
      </c>
      <c r="E14" s="12">
        <v>1</v>
      </c>
      <c r="F14" s="12">
        <v>1</v>
      </c>
      <c r="G14" s="13">
        <v>0</v>
      </c>
      <c r="H14" s="14">
        <v>1</v>
      </c>
      <c r="I14" s="12">
        <v>1</v>
      </c>
      <c r="J14" s="12">
        <v>1</v>
      </c>
      <c r="K14" s="12">
        <v>1</v>
      </c>
      <c r="L14" s="12">
        <v>1</v>
      </c>
      <c r="M14" s="11" t="s">
        <v>69</v>
      </c>
      <c r="N14" s="12">
        <v>1</v>
      </c>
      <c r="O14" s="12">
        <v>1</v>
      </c>
      <c r="P14" s="12">
        <v>1</v>
      </c>
      <c r="Q14" s="12">
        <v>1</v>
      </c>
      <c r="R14" s="12">
        <v>1</v>
      </c>
      <c r="S14" s="12">
        <v>1</v>
      </c>
      <c r="T14" s="12">
        <v>1</v>
      </c>
      <c r="U14" s="12">
        <v>1</v>
      </c>
      <c r="V14" s="12">
        <v>1</v>
      </c>
      <c r="W14" s="12">
        <v>1</v>
      </c>
      <c r="X14" s="12">
        <v>1</v>
      </c>
      <c r="Y14" s="11" t="s">
        <v>69</v>
      </c>
      <c r="Z14" s="16">
        <v>0</v>
      </c>
      <c r="AA14" s="14">
        <v>1</v>
      </c>
      <c r="AB14" s="14">
        <v>1</v>
      </c>
      <c r="AC14" s="14">
        <v>1</v>
      </c>
      <c r="AD14" s="16">
        <v>0</v>
      </c>
      <c r="AE14" s="14">
        <v>0</v>
      </c>
      <c r="AG14">
        <f t="shared" si="0"/>
        <v>24</v>
      </c>
    </row>
    <row r="15" spans="1:33" x14ac:dyDescent="0.25">
      <c r="A15" s="15" t="s">
        <v>70</v>
      </c>
      <c r="B15" s="9">
        <v>2.5</v>
      </c>
      <c r="C15" s="9">
        <v>2.5</v>
      </c>
      <c r="D15" s="9">
        <v>2.5</v>
      </c>
      <c r="E15" s="9">
        <v>2.5</v>
      </c>
      <c r="F15" s="9">
        <v>2.5</v>
      </c>
      <c r="G15" s="10">
        <v>2.5</v>
      </c>
      <c r="H15" s="5">
        <v>0</v>
      </c>
      <c r="I15" s="9">
        <v>2.5</v>
      </c>
      <c r="J15" s="9">
        <v>2.5</v>
      </c>
      <c r="K15" s="9">
        <v>2.5</v>
      </c>
      <c r="L15" s="9">
        <v>2.5</v>
      </c>
      <c r="M15" s="15" t="s">
        <v>70</v>
      </c>
      <c r="N15" s="9">
        <v>2.5</v>
      </c>
      <c r="O15" s="9">
        <v>2.5</v>
      </c>
      <c r="P15" s="9">
        <v>2.5</v>
      </c>
      <c r="Q15" s="9">
        <v>2.5</v>
      </c>
      <c r="R15" s="9">
        <v>2.5</v>
      </c>
      <c r="S15" s="9">
        <v>2.5</v>
      </c>
      <c r="T15" s="9">
        <v>2.5</v>
      </c>
      <c r="U15" s="9">
        <v>2.5</v>
      </c>
      <c r="V15" s="9">
        <v>2.5</v>
      </c>
      <c r="W15" s="9">
        <v>2.5</v>
      </c>
      <c r="X15" s="9">
        <v>2.5</v>
      </c>
      <c r="Y15" s="15" t="s">
        <v>70</v>
      </c>
      <c r="Z15" s="5">
        <v>0</v>
      </c>
      <c r="AA15" s="10">
        <v>2.5</v>
      </c>
      <c r="AB15" s="10">
        <v>2.5</v>
      </c>
      <c r="AC15" s="10">
        <v>2.5</v>
      </c>
      <c r="AD15" s="5">
        <v>0</v>
      </c>
      <c r="AE15" s="10">
        <v>0</v>
      </c>
      <c r="AG15">
        <f t="shared" si="0"/>
        <v>60</v>
      </c>
    </row>
    <row r="16" spans="1:33" x14ac:dyDescent="0.25">
      <c r="A16" s="11" t="s">
        <v>71</v>
      </c>
      <c r="B16" s="12">
        <v>10</v>
      </c>
      <c r="C16" s="12">
        <v>10</v>
      </c>
      <c r="D16" s="12">
        <v>10</v>
      </c>
      <c r="E16" s="12">
        <v>10</v>
      </c>
      <c r="F16" s="12">
        <v>10</v>
      </c>
      <c r="G16" s="12">
        <v>10</v>
      </c>
      <c r="H16" s="12">
        <v>10</v>
      </c>
      <c r="I16" s="13">
        <v>0</v>
      </c>
      <c r="J16" s="12">
        <v>10</v>
      </c>
      <c r="K16" s="12">
        <v>10</v>
      </c>
      <c r="L16" s="12">
        <v>10</v>
      </c>
      <c r="M16" s="11" t="s">
        <v>71</v>
      </c>
      <c r="N16" s="12">
        <v>10</v>
      </c>
      <c r="O16" s="12">
        <v>10</v>
      </c>
      <c r="P16" s="12">
        <v>10</v>
      </c>
      <c r="Q16" s="12">
        <v>10</v>
      </c>
      <c r="R16" s="12">
        <v>10</v>
      </c>
      <c r="S16" s="12">
        <v>10</v>
      </c>
      <c r="T16" s="12">
        <v>10</v>
      </c>
      <c r="U16" s="12">
        <v>10</v>
      </c>
      <c r="V16" s="12">
        <v>10</v>
      </c>
      <c r="W16" s="12">
        <v>10</v>
      </c>
      <c r="X16" s="12">
        <v>10</v>
      </c>
      <c r="Y16" s="11" t="s">
        <v>71</v>
      </c>
      <c r="Z16" s="14">
        <v>10</v>
      </c>
      <c r="AA16" s="16">
        <v>0</v>
      </c>
      <c r="AB16" s="14">
        <v>10</v>
      </c>
      <c r="AC16" s="14">
        <v>10</v>
      </c>
      <c r="AD16" s="14">
        <v>10</v>
      </c>
      <c r="AE16" s="14">
        <v>0</v>
      </c>
      <c r="AG16">
        <f t="shared" si="0"/>
        <v>250</v>
      </c>
    </row>
    <row r="17" spans="1:33" x14ac:dyDescent="0.25">
      <c r="A17" s="15" t="s">
        <v>72</v>
      </c>
      <c r="B17" s="9">
        <v>1</v>
      </c>
      <c r="C17" s="9">
        <v>1</v>
      </c>
      <c r="D17" s="9">
        <v>1</v>
      </c>
      <c r="E17" s="9">
        <v>1</v>
      </c>
      <c r="F17" s="9">
        <v>1</v>
      </c>
      <c r="G17" s="9">
        <v>1</v>
      </c>
      <c r="H17" s="9">
        <v>1</v>
      </c>
      <c r="I17" s="9">
        <v>1</v>
      </c>
      <c r="J17" s="4">
        <v>0</v>
      </c>
      <c r="K17" s="9">
        <v>1</v>
      </c>
      <c r="L17" s="9">
        <v>1</v>
      </c>
      <c r="M17" s="15" t="s">
        <v>72</v>
      </c>
      <c r="N17" s="9">
        <v>1</v>
      </c>
      <c r="O17" s="9">
        <v>1</v>
      </c>
      <c r="P17" s="9">
        <v>1</v>
      </c>
      <c r="Q17" s="9">
        <v>1</v>
      </c>
      <c r="R17" s="9">
        <v>1</v>
      </c>
      <c r="S17" s="9">
        <v>1</v>
      </c>
      <c r="T17" s="9">
        <v>1</v>
      </c>
      <c r="U17" s="9">
        <v>1</v>
      </c>
      <c r="V17" s="9">
        <v>1</v>
      </c>
      <c r="W17" s="9">
        <v>1</v>
      </c>
      <c r="X17" s="9">
        <v>1</v>
      </c>
      <c r="Y17" s="15" t="s">
        <v>72</v>
      </c>
      <c r="Z17" s="10">
        <v>1</v>
      </c>
      <c r="AA17" s="5">
        <v>0</v>
      </c>
      <c r="AB17" s="10">
        <v>1</v>
      </c>
      <c r="AC17" s="10">
        <v>1</v>
      </c>
      <c r="AD17" s="10">
        <v>1</v>
      </c>
      <c r="AE17" s="10">
        <v>0</v>
      </c>
      <c r="AG17">
        <f t="shared" si="0"/>
        <v>25</v>
      </c>
    </row>
    <row r="18" spans="1:33" x14ac:dyDescent="0.25">
      <c r="A18" s="11" t="s">
        <v>73</v>
      </c>
      <c r="B18" s="12">
        <v>1</v>
      </c>
      <c r="C18" s="12">
        <v>1</v>
      </c>
      <c r="D18" s="12">
        <v>1</v>
      </c>
      <c r="E18" s="12">
        <v>1</v>
      </c>
      <c r="F18" s="12">
        <v>1</v>
      </c>
      <c r="G18" s="12">
        <v>1</v>
      </c>
      <c r="H18" s="12">
        <v>1</v>
      </c>
      <c r="I18" s="12">
        <v>1</v>
      </c>
      <c r="J18" s="12">
        <v>1</v>
      </c>
      <c r="K18" s="13">
        <v>0</v>
      </c>
      <c r="L18" s="12">
        <v>1</v>
      </c>
      <c r="M18" s="11" t="s">
        <v>73</v>
      </c>
      <c r="N18" s="12">
        <v>1</v>
      </c>
      <c r="O18" s="12">
        <v>1</v>
      </c>
      <c r="P18" s="12">
        <v>1</v>
      </c>
      <c r="Q18" s="12">
        <v>1</v>
      </c>
      <c r="R18" s="12">
        <v>1</v>
      </c>
      <c r="S18" s="12">
        <v>1</v>
      </c>
      <c r="T18" s="12">
        <v>1</v>
      </c>
      <c r="U18" s="12">
        <v>1</v>
      </c>
      <c r="V18" s="12">
        <v>1</v>
      </c>
      <c r="W18" s="12">
        <v>1</v>
      </c>
      <c r="X18" s="12">
        <v>1</v>
      </c>
      <c r="Y18" s="11" t="s">
        <v>73</v>
      </c>
      <c r="Z18" s="14">
        <v>1</v>
      </c>
      <c r="AA18" s="14">
        <v>1</v>
      </c>
      <c r="AB18" s="16">
        <v>0</v>
      </c>
      <c r="AC18" s="14">
        <v>1</v>
      </c>
      <c r="AD18" s="14">
        <v>1</v>
      </c>
      <c r="AE18" s="14">
        <v>0</v>
      </c>
      <c r="AG18">
        <f t="shared" si="0"/>
        <v>25</v>
      </c>
    </row>
    <row r="19" spans="1:33" x14ac:dyDescent="0.25">
      <c r="A19" s="15" t="s">
        <v>74</v>
      </c>
      <c r="B19" s="9">
        <v>1</v>
      </c>
      <c r="C19" s="9">
        <v>1</v>
      </c>
      <c r="D19" s="9">
        <v>1</v>
      </c>
      <c r="E19" s="9">
        <v>1</v>
      </c>
      <c r="F19" s="9">
        <v>1</v>
      </c>
      <c r="G19" s="9">
        <v>1</v>
      </c>
      <c r="H19" s="9">
        <v>1</v>
      </c>
      <c r="I19" s="9">
        <v>1</v>
      </c>
      <c r="J19" s="9">
        <v>1</v>
      </c>
      <c r="K19" s="9">
        <v>1</v>
      </c>
      <c r="L19" s="4">
        <v>0</v>
      </c>
      <c r="M19" s="15" t="s">
        <v>74</v>
      </c>
      <c r="N19" s="9">
        <v>1</v>
      </c>
      <c r="O19" s="9">
        <v>1</v>
      </c>
      <c r="P19" s="9">
        <v>1</v>
      </c>
      <c r="Q19" s="9">
        <v>1</v>
      </c>
      <c r="R19" s="9">
        <v>1</v>
      </c>
      <c r="S19" s="9">
        <v>1</v>
      </c>
      <c r="T19" s="9">
        <v>1</v>
      </c>
      <c r="U19" s="9">
        <v>1</v>
      </c>
      <c r="V19" s="9">
        <v>1</v>
      </c>
      <c r="W19" s="9">
        <v>1</v>
      </c>
      <c r="X19" s="9">
        <v>1</v>
      </c>
      <c r="Y19" s="15" t="s">
        <v>74</v>
      </c>
      <c r="Z19" s="10">
        <v>1</v>
      </c>
      <c r="AA19" s="10">
        <v>1</v>
      </c>
      <c r="AB19" s="10">
        <v>1</v>
      </c>
      <c r="AC19" s="10">
        <v>1</v>
      </c>
      <c r="AD19" s="10">
        <v>1</v>
      </c>
      <c r="AE19" s="10">
        <v>0</v>
      </c>
      <c r="AG19">
        <f t="shared" si="0"/>
        <v>26</v>
      </c>
    </row>
    <row r="20" spans="1:33" x14ac:dyDescent="0.25">
      <c r="A20" s="11" t="s">
        <v>75</v>
      </c>
      <c r="B20" s="12">
        <v>1</v>
      </c>
      <c r="C20" s="12">
        <v>1</v>
      </c>
      <c r="D20" s="12">
        <v>1</v>
      </c>
      <c r="E20" s="12">
        <v>1</v>
      </c>
      <c r="F20" s="12">
        <v>1</v>
      </c>
      <c r="G20" s="12">
        <v>1</v>
      </c>
      <c r="H20" s="12">
        <v>1</v>
      </c>
      <c r="I20" s="12">
        <v>1</v>
      </c>
      <c r="J20" s="12">
        <v>1</v>
      </c>
      <c r="K20" s="12">
        <v>1</v>
      </c>
      <c r="L20" s="12">
        <v>1</v>
      </c>
      <c r="M20" s="11" t="s">
        <v>75</v>
      </c>
      <c r="N20" s="13">
        <v>0</v>
      </c>
      <c r="O20" s="12">
        <v>1</v>
      </c>
      <c r="P20" s="12">
        <v>1</v>
      </c>
      <c r="Q20" s="12">
        <v>1</v>
      </c>
      <c r="R20" s="12">
        <v>1</v>
      </c>
      <c r="S20" s="12">
        <v>1</v>
      </c>
      <c r="T20" s="12">
        <v>1</v>
      </c>
      <c r="U20" s="12">
        <v>1</v>
      </c>
      <c r="V20" s="12">
        <v>1</v>
      </c>
      <c r="W20" s="12">
        <v>1</v>
      </c>
      <c r="X20" s="12">
        <v>1</v>
      </c>
      <c r="Y20" s="11" t="s">
        <v>75</v>
      </c>
      <c r="Z20" s="14">
        <v>1</v>
      </c>
      <c r="AA20" s="14">
        <v>1</v>
      </c>
      <c r="AB20" s="14">
        <v>1</v>
      </c>
      <c r="AC20" s="14">
        <v>1</v>
      </c>
      <c r="AD20" s="14">
        <v>1</v>
      </c>
      <c r="AE20" s="14">
        <v>0</v>
      </c>
      <c r="AG20">
        <f t="shared" si="0"/>
        <v>26</v>
      </c>
    </row>
    <row r="21" spans="1:33" x14ac:dyDescent="0.25">
      <c r="A21" s="15" t="s">
        <v>76</v>
      </c>
      <c r="B21" s="9">
        <v>4</v>
      </c>
      <c r="C21" s="9">
        <v>4</v>
      </c>
      <c r="D21" s="9">
        <v>4</v>
      </c>
      <c r="E21" s="9">
        <v>4</v>
      </c>
      <c r="F21" s="9">
        <v>4</v>
      </c>
      <c r="G21" s="9">
        <v>4</v>
      </c>
      <c r="H21" s="9">
        <v>4</v>
      </c>
      <c r="I21" s="9">
        <v>4</v>
      </c>
      <c r="J21" s="9">
        <v>4</v>
      </c>
      <c r="K21" s="9">
        <v>4</v>
      </c>
      <c r="L21" s="9">
        <v>4</v>
      </c>
      <c r="M21" s="15" t="s">
        <v>76</v>
      </c>
      <c r="N21" s="9">
        <v>4</v>
      </c>
      <c r="O21" s="4">
        <v>0</v>
      </c>
      <c r="P21" s="9">
        <v>4</v>
      </c>
      <c r="Q21" s="9">
        <v>4</v>
      </c>
      <c r="R21" s="9">
        <v>4</v>
      </c>
      <c r="S21" s="9">
        <v>4</v>
      </c>
      <c r="T21" s="9">
        <v>4</v>
      </c>
      <c r="U21" s="9">
        <v>4</v>
      </c>
      <c r="V21" s="9">
        <v>4</v>
      </c>
      <c r="W21" s="9">
        <v>4</v>
      </c>
      <c r="X21" s="9">
        <v>4</v>
      </c>
      <c r="Y21" s="15" t="s">
        <v>76</v>
      </c>
      <c r="Z21" s="10">
        <v>4</v>
      </c>
      <c r="AA21" s="10">
        <v>4</v>
      </c>
      <c r="AB21" s="10">
        <v>4</v>
      </c>
      <c r="AC21" s="10">
        <v>4</v>
      </c>
      <c r="AD21" s="10">
        <v>4</v>
      </c>
      <c r="AE21" s="10">
        <v>0</v>
      </c>
      <c r="AG21">
        <f t="shared" si="0"/>
        <v>104</v>
      </c>
    </row>
    <row r="22" spans="1:33" x14ac:dyDescent="0.25">
      <c r="A22" s="11" t="s">
        <v>77</v>
      </c>
      <c r="B22" s="12">
        <v>1</v>
      </c>
      <c r="C22" s="12">
        <v>1</v>
      </c>
      <c r="D22" s="12">
        <v>1</v>
      </c>
      <c r="E22" s="12">
        <v>1</v>
      </c>
      <c r="F22" s="12">
        <v>1</v>
      </c>
      <c r="G22" s="12">
        <v>1</v>
      </c>
      <c r="H22" s="12">
        <v>1</v>
      </c>
      <c r="I22" s="12">
        <v>1</v>
      </c>
      <c r="J22" s="12">
        <v>1</v>
      </c>
      <c r="K22" s="12">
        <v>1</v>
      </c>
      <c r="L22" s="12">
        <v>1</v>
      </c>
      <c r="M22" s="11" t="s">
        <v>77</v>
      </c>
      <c r="N22" s="12">
        <v>1</v>
      </c>
      <c r="O22" s="12">
        <v>1</v>
      </c>
      <c r="P22" s="13">
        <v>0</v>
      </c>
      <c r="Q22" s="12">
        <v>1</v>
      </c>
      <c r="R22" s="12">
        <v>1</v>
      </c>
      <c r="S22" s="12">
        <v>1</v>
      </c>
      <c r="T22" s="12">
        <v>1</v>
      </c>
      <c r="U22" s="12">
        <v>1</v>
      </c>
      <c r="V22" s="12">
        <v>1</v>
      </c>
      <c r="W22" s="12">
        <v>1</v>
      </c>
      <c r="X22" s="12">
        <v>1</v>
      </c>
      <c r="Y22" s="11" t="s">
        <v>77</v>
      </c>
      <c r="Z22" s="14">
        <v>1</v>
      </c>
      <c r="AA22" s="14">
        <v>1</v>
      </c>
      <c r="AB22" s="14">
        <v>1</v>
      </c>
      <c r="AC22" s="14">
        <v>1</v>
      </c>
      <c r="AD22" s="14">
        <v>1</v>
      </c>
      <c r="AE22" s="14">
        <v>0</v>
      </c>
      <c r="AG22">
        <f t="shared" si="0"/>
        <v>26</v>
      </c>
    </row>
    <row r="23" spans="1:33" x14ac:dyDescent="0.25">
      <c r="A23" s="15" t="s">
        <v>78</v>
      </c>
      <c r="B23" s="9">
        <v>1</v>
      </c>
      <c r="C23" s="9">
        <v>1</v>
      </c>
      <c r="D23" s="9">
        <v>1</v>
      </c>
      <c r="E23" s="9">
        <v>1</v>
      </c>
      <c r="F23" s="9">
        <v>1</v>
      </c>
      <c r="G23" s="9">
        <v>1</v>
      </c>
      <c r="H23" s="9">
        <v>1</v>
      </c>
      <c r="I23" s="9">
        <v>1</v>
      </c>
      <c r="J23" s="9">
        <v>1</v>
      </c>
      <c r="K23" s="9">
        <v>1</v>
      </c>
      <c r="L23" s="9">
        <v>1</v>
      </c>
      <c r="M23" s="15" t="s">
        <v>78</v>
      </c>
      <c r="N23" s="9">
        <v>1</v>
      </c>
      <c r="O23" s="9">
        <v>1</v>
      </c>
      <c r="P23" s="9">
        <v>1</v>
      </c>
      <c r="Q23" s="4">
        <v>0</v>
      </c>
      <c r="R23" s="9">
        <v>1</v>
      </c>
      <c r="S23" s="9">
        <v>1</v>
      </c>
      <c r="T23" s="9">
        <v>1</v>
      </c>
      <c r="U23" s="9">
        <v>1</v>
      </c>
      <c r="V23" s="9">
        <v>1</v>
      </c>
      <c r="W23" s="9">
        <v>1</v>
      </c>
      <c r="X23" s="9">
        <v>1</v>
      </c>
      <c r="Y23" s="15" t="s">
        <v>78</v>
      </c>
      <c r="Z23" s="10">
        <v>1</v>
      </c>
      <c r="AA23" s="10">
        <v>1</v>
      </c>
      <c r="AB23" s="10">
        <v>1</v>
      </c>
      <c r="AC23" s="10">
        <v>1</v>
      </c>
      <c r="AD23" s="10">
        <v>1</v>
      </c>
      <c r="AE23" s="10">
        <v>0</v>
      </c>
      <c r="AG23">
        <f t="shared" si="0"/>
        <v>26</v>
      </c>
    </row>
    <row r="24" spans="1:33" x14ac:dyDescent="0.25">
      <c r="A24" s="11" t="s">
        <v>79</v>
      </c>
      <c r="B24" s="12">
        <v>2</v>
      </c>
      <c r="C24" s="12">
        <v>2</v>
      </c>
      <c r="D24" s="12">
        <v>2</v>
      </c>
      <c r="E24" s="12">
        <v>2</v>
      </c>
      <c r="F24" s="12">
        <v>2</v>
      </c>
      <c r="G24" s="12">
        <v>2</v>
      </c>
      <c r="H24" s="12">
        <v>2</v>
      </c>
      <c r="I24" s="12">
        <v>2</v>
      </c>
      <c r="J24" s="12">
        <v>2</v>
      </c>
      <c r="K24" s="12">
        <v>2</v>
      </c>
      <c r="L24" s="12">
        <v>2</v>
      </c>
      <c r="M24" s="11" t="s">
        <v>79</v>
      </c>
      <c r="N24" s="12">
        <v>2</v>
      </c>
      <c r="O24" s="12">
        <v>2</v>
      </c>
      <c r="P24" s="12">
        <v>2</v>
      </c>
      <c r="Q24" s="12">
        <v>2</v>
      </c>
      <c r="R24" s="13">
        <v>0</v>
      </c>
      <c r="S24" s="12">
        <v>2</v>
      </c>
      <c r="T24" s="12">
        <v>2</v>
      </c>
      <c r="U24" s="12">
        <v>2</v>
      </c>
      <c r="V24" s="12">
        <v>2</v>
      </c>
      <c r="W24" s="12">
        <v>2</v>
      </c>
      <c r="X24" s="12">
        <v>2</v>
      </c>
      <c r="Y24" s="11" t="s">
        <v>79</v>
      </c>
      <c r="Z24" s="14">
        <v>2</v>
      </c>
      <c r="AA24" s="14">
        <v>2</v>
      </c>
      <c r="AB24" s="14">
        <v>2</v>
      </c>
      <c r="AC24" s="14">
        <v>2</v>
      </c>
      <c r="AD24" s="14">
        <v>2</v>
      </c>
      <c r="AE24" s="14">
        <v>0</v>
      </c>
      <c r="AG24">
        <f t="shared" si="0"/>
        <v>52</v>
      </c>
    </row>
    <row r="25" spans="1:33" x14ac:dyDescent="0.25">
      <c r="A25" s="15" t="s">
        <v>80</v>
      </c>
      <c r="B25" s="9">
        <v>1</v>
      </c>
      <c r="C25" s="9">
        <v>1</v>
      </c>
      <c r="D25" s="9">
        <v>1</v>
      </c>
      <c r="E25" s="9">
        <v>1</v>
      </c>
      <c r="F25" s="9">
        <v>1</v>
      </c>
      <c r="G25" s="9">
        <v>1</v>
      </c>
      <c r="H25" s="9">
        <v>1</v>
      </c>
      <c r="I25" s="9">
        <v>1</v>
      </c>
      <c r="J25" s="9">
        <v>1</v>
      </c>
      <c r="K25" s="9">
        <v>1</v>
      </c>
      <c r="L25" s="9">
        <v>1</v>
      </c>
      <c r="M25" s="15" t="s">
        <v>80</v>
      </c>
      <c r="N25" s="9">
        <v>1</v>
      </c>
      <c r="O25" s="9">
        <v>1</v>
      </c>
      <c r="P25" s="9">
        <v>1</v>
      </c>
      <c r="Q25" s="9">
        <v>1</v>
      </c>
      <c r="R25" s="9">
        <v>1</v>
      </c>
      <c r="S25" s="4">
        <v>0</v>
      </c>
      <c r="T25" s="9">
        <v>1</v>
      </c>
      <c r="U25" s="9">
        <v>1</v>
      </c>
      <c r="V25" s="9">
        <v>1</v>
      </c>
      <c r="W25" s="9">
        <v>1</v>
      </c>
      <c r="X25" s="9">
        <v>1</v>
      </c>
      <c r="Y25" s="15" t="s">
        <v>80</v>
      </c>
      <c r="Z25" s="10">
        <v>1</v>
      </c>
      <c r="AA25" s="10">
        <v>1</v>
      </c>
      <c r="AB25" s="10">
        <v>1</v>
      </c>
      <c r="AC25" s="10">
        <v>1</v>
      </c>
      <c r="AD25" s="10">
        <v>1</v>
      </c>
      <c r="AE25" s="10">
        <v>0</v>
      </c>
      <c r="AG25">
        <f t="shared" si="0"/>
        <v>26</v>
      </c>
    </row>
    <row r="26" spans="1:33" x14ac:dyDescent="0.25">
      <c r="A26" s="11" t="s">
        <v>81</v>
      </c>
      <c r="B26" s="12">
        <v>1</v>
      </c>
      <c r="C26" s="12">
        <v>1</v>
      </c>
      <c r="D26" s="12">
        <v>1</v>
      </c>
      <c r="E26" s="12">
        <v>1</v>
      </c>
      <c r="F26" s="12">
        <v>1</v>
      </c>
      <c r="G26" s="12">
        <v>1</v>
      </c>
      <c r="H26" s="12">
        <v>1</v>
      </c>
      <c r="I26" s="12">
        <v>1</v>
      </c>
      <c r="J26" s="12">
        <v>1</v>
      </c>
      <c r="K26" s="12">
        <v>1</v>
      </c>
      <c r="L26" s="12">
        <v>1</v>
      </c>
      <c r="M26" s="11" t="s">
        <v>81</v>
      </c>
      <c r="N26" s="12">
        <v>1</v>
      </c>
      <c r="O26" s="12">
        <v>1</v>
      </c>
      <c r="P26" s="12">
        <v>1</v>
      </c>
      <c r="Q26" s="12">
        <v>1</v>
      </c>
      <c r="R26" s="12">
        <v>1</v>
      </c>
      <c r="S26" s="12">
        <v>1</v>
      </c>
      <c r="T26" s="13">
        <v>0</v>
      </c>
      <c r="U26" s="12">
        <v>1</v>
      </c>
      <c r="V26" s="12">
        <v>1</v>
      </c>
      <c r="W26" s="12">
        <v>1</v>
      </c>
      <c r="X26" s="12">
        <v>1</v>
      </c>
      <c r="Y26" s="11" t="s">
        <v>81</v>
      </c>
      <c r="Z26" s="14">
        <v>1</v>
      </c>
      <c r="AA26" s="14">
        <v>1</v>
      </c>
      <c r="AB26" s="16">
        <v>0</v>
      </c>
      <c r="AC26" s="14">
        <v>1</v>
      </c>
      <c r="AD26" s="16">
        <v>0</v>
      </c>
      <c r="AE26" s="14">
        <v>0</v>
      </c>
      <c r="AG26">
        <f t="shared" si="0"/>
        <v>24</v>
      </c>
    </row>
    <row r="27" spans="1:33" x14ac:dyDescent="0.25">
      <c r="A27" s="15" t="s">
        <v>82</v>
      </c>
      <c r="B27" s="9">
        <v>1</v>
      </c>
      <c r="C27" s="9">
        <v>1</v>
      </c>
      <c r="D27" s="9">
        <v>1</v>
      </c>
      <c r="E27" s="9">
        <v>1</v>
      </c>
      <c r="F27" s="9">
        <v>1</v>
      </c>
      <c r="G27" s="9">
        <v>1</v>
      </c>
      <c r="H27" s="9">
        <v>1</v>
      </c>
      <c r="I27" s="9">
        <v>1</v>
      </c>
      <c r="J27" s="9">
        <v>1</v>
      </c>
      <c r="K27" s="9">
        <v>1</v>
      </c>
      <c r="L27" s="9">
        <v>1</v>
      </c>
      <c r="M27" s="15" t="s">
        <v>82</v>
      </c>
      <c r="N27" s="9">
        <v>1</v>
      </c>
      <c r="O27" s="9">
        <v>1</v>
      </c>
      <c r="P27" s="9">
        <v>1</v>
      </c>
      <c r="Q27" s="9">
        <v>1</v>
      </c>
      <c r="R27" s="9">
        <v>1</v>
      </c>
      <c r="S27" s="9">
        <v>1</v>
      </c>
      <c r="T27" s="9">
        <v>1</v>
      </c>
      <c r="U27" s="4">
        <v>0</v>
      </c>
      <c r="V27" s="9">
        <v>1</v>
      </c>
      <c r="W27" s="9">
        <v>1</v>
      </c>
      <c r="X27" s="9">
        <v>1</v>
      </c>
      <c r="Y27" s="15" t="s">
        <v>82</v>
      </c>
      <c r="Z27" s="10">
        <v>1</v>
      </c>
      <c r="AA27" s="10">
        <v>1</v>
      </c>
      <c r="AB27" s="10">
        <v>1</v>
      </c>
      <c r="AC27" s="10">
        <v>1</v>
      </c>
      <c r="AD27" s="10">
        <v>1</v>
      </c>
      <c r="AE27" s="10">
        <v>0</v>
      </c>
      <c r="AG27">
        <f t="shared" si="0"/>
        <v>26</v>
      </c>
    </row>
    <row r="28" spans="1:33" x14ac:dyDescent="0.25">
      <c r="A28" s="11" t="s">
        <v>83</v>
      </c>
      <c r="B28" s="12">
        <v>1</v>
      </c>
      <c r="C28" s="12">
        <v>1</v>
      </c>
      <c r="D28" s="12">
        <v>1</v>
      </c>
      <c r="E28" s="12">
        <v>1</v>
      </c>
      <c r="F28" s="12">
        <v>1</v>
      </c>
      <c r="G28" s="12">
        <v>1</v>
      </c>
      <c r="H28" s="12">
        <v>1</v>
      </c>
      <c r="I28" s="12">
        <v>1</v>
      </c>
      <c r="J28" s="12">
        <v>1</v>
      </c>
      <c r="K28" s="12">
        <v>1</v>
      </c>
      <c r="L28" s="12">
        <v>1</v>
      </c>
      <c r="M28" s="11" t="s">
        <v>83</v>
      </c>
      <c r="N28" s="12">
        <v>1</v>
      </c>
      <c r="O28" s="12">
        <v>1</v>
      </c>
      <c r="P28" s="12">
        <v>1</v>
      </c>
      <c r="Q28" s="12">
        <v>1</v>
      </c>
      <c r="R28" s="12">
        <v>1</v>
      </c>
      <c r="S28" s="12">
        <v>1</v>
      </c>
      <c r="T28" s="12">
        <v>1</v>
      </c>
      <c r="U28" s="12">
        <v>1</v>
      </c>
      <c r="V28" s="13">
        <v>0</v>
      </c>
      <c r="W28" s="12">
        <v>1</v>
      </c>
      <c r="X28" s="12">
        <v>1</v>
      </c>
      <c r="Y28" s="11" t="s">
        <v>83</v>
      </c>
      <c r="Z28" s="14">
        <v>1</v>
      </c>
      <c r="AA28" s="14">
        <v>1</v>
      </c>
      <c r="AB28" s="14">
        <v>1</v>
      </c>
      <c r="AC28" s="14">
        <v>1</v>
      </c>
      <c r="AD28" s="14">
        <v>1</v>
      </c>
      <c r="AE28" s="14">
        <v>0</v>
      </c>
      <c r="AG28">
        <f t="shared" si="0"/>
        <v>26</v>
      </c>
    </row>
    <row r="29" spans="1:33" x14ac:dyDescent="0.25">
      <c r="A29" s="15" t="s">
        <v>84</v>
      </c>
      <c r="B29" s="9">
        <v>1</v>
      </c>
      <c r="C29" s="9">
        <v>1</v>
      </c>
      <c r="D29" s="9">
        <v>1</v>
      </c>
      <c r="E29" s="9">
        <v>1</v>
      </c>
      <c r="F29" s="9">
        <v>1</v>
      </c>
      <c r="G29" s="9">
        <v>1</v>
      </c>
      <c r="H29" s="9">
        <v>1</v>
      </c>
      <c r="I29" s="9">
        <v>1</v>
      </c>
      <c r="J29" s="9">
        <v>1</v>
      </c>
      <c r="K29" s="9">
        <v>1</v>
      </c>
      <c r="L29" s="9">
        <v>1</v>
      </c>
      <c r="M29" s="15" t="s">
        <v>84</v>
      </c>
      <c r="N29" s="9">
        <v>1</v>
      </c>
      <c r="O29" s="9">
        <v>1</v>
      </c>
      <c r="P29" s="9">
        <v>1</v>
      </c>
      <c r="Q29" s="9">
        <v>1</v>
      </c>
      <c r="R29" s="9">
        <v>1</v>
      </c>
      <c r="S29" s="9">
        <v>1</v>
      </c>
      <c r="T29" s="9">
        <v>1</v>
      </c>
      <c r="U29" s="9">
        <v>1</v>
      </c>
      <c r="V29" s="9">
        <v>1</v>
      </c>
      <c r="W29" s="4">
        <v>0</v>
      </c>
      <c r="X29" s="9">
        <v>1</v>
      </c>
      <c r="Y29" s="15" t="s">
        <v>84</v>
      </c>
      <c r="Z29" s="10">
        <v>1</v>
      </c>
      <c r="AA29" s="10">
        <v>1</v>
      </c>
      <c r="AB29" s="10">
        <v>1</v>
      </c>
      <c r="AC29" s="10">
        <v>1</v>
      </c>
      <c r="AD29" s="10">
        <v>1</v>
      </c>
      <c r="AE29" s="10">
        <v>0</v>
      </c>
      <c r="AG29">
        <f t="shared" si="0"/>
        <v>26</v>
      </c>
    </row>
    <row r="30" spans="1:33" x14ac:dyDescent="0.25">
      <c r="A30" s="11" t="s">
        <v>85</v>
      </c>
      <c r="B30" s="12">
        <v>1</v>
      </c>
      <c r="C30" s="12">
        <v>1</v>
      </c>
      <c r="D30" s="12">
        <v>1</v>
      </c>
      <c r="E30" s="12">
        <v>1</v>
      </c>
      <c r="F30" s="12">
        <v>1</v>
      </c>
      <c r="G30" s="12">
        <v>1</v>
      </c>
      <c r="H30" s="12">
        <v>1</v>
      </c>
      <c r="I30" s="12">
        <v>1</v>
      </c>
      <c r="J30" s="12">
        <v>1</v>
      </c>
      <c r="K30" s="12">
        <v>1</v>
      </c>
      <c r="L30" s="12">
        <v>1</v>
      </c>
      <c r="M30" s="11" t="s">
        <v>85</v>
      </c>
      <c r="N30" s="12">
        <v>1</v>
      </c>
      <c r="O30" s="12">
        <v>1</v>
      </c>
      <c r="P30" s="12">
        <v>1</v>
      </c>
      <c r="Q30" s="12">
        <v>1</v>
      </c>
      <c r="R30" s="12">
        <v>1</v>
      </c>
      <c r="S30" s="12">
        <v>1</v>
      </c>
      <c r="T30" s="12">
        <v>1</v>
      </c>
      <c r="U30" s="12">
        <v>1</v>
      </c>
      <c r="V30" s="12">
        <v>1</v>
      </c>
      <c r="W30" s="12">
        <v>1</v>
      </c>
      <c r="X30" s="16">
        <v>0</v>
      </c>
      <c r="Y30" s="11" t="s">
        <v>85</v>
      </c>
      <c r="Z30" s="14">
        <v>1</v>
      </c>
      <c r="AA30" s="14">
        <v>1</v>
      </c>
      <c r="AB30" s="14">
        <v>1</v>
      </c>
      <c r="AC30" s="14">
        <v>1</v>
      </c>
      <c r="AD30" s="14">
        <v>1</v>
      </c>
      <c r="AE30" s="14">
        <v>0</v>
      </c>
      <c r="AG30">
        <f t="shared" si="0"/>
        <v>26</v>
      </c>
    </row>
    <row r="31" spans="1:33" x14ac:dyDescent="0.25">
      <c r="A31" s="15" t="s">
        <v>86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15" t="s">
        <v>86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1</v>
      </c>
      <c r="X31" s="10">
        <v>0</v>
      </c>
      <c r="Y31" s="15" t="s">
        <v>86</v>
      </c>
      <c r="Z31" s="10">
        <v>0</v>
      </c>
      <c r="AA31" s="10">
        <v>0</v>
      </c>
      <c r="AB31" s="10">
        <v>0</v>
      </c>
      <c r="AC31" s="10">
        <v>0</v>
      </c>
      <c r="AD31" s="10">
        <v>0</v>
      </c>
      <c r="AE31" s="10">
        <v>0</v>
      </c>
      <c r="AG31">
        <f t="shared" si="0"/>
        <v>1</v>
      </c>
    </row>
    <row r="32" spans="1:33" x14ac:dyDescent="0.25">
      <c r="A32" s="11" t="s">
        <v>87</v>
      </c>
      <c r="B32" s="12">
        <v>0</v>
      </c>
      <c r="C32" s="12">
        <v>0</v>
      </c>
      <c r="D32" s="12">
        <v>0</v>
      </c>
      <c r="E32" s="12">
        <v>0</v>
      </c>
      <c r="F32" s="12">
        <v>0</v>
      </c>
      <c r="G32" s="12">
        <v>0</v>
      </c>
      <c r="H32" s="12">
        <v>1</v>
      </c>
      <c r="I32" s="12">
        <v>0</v>
      </c>
      <c r="J32" s="12">
        <v>0</v>
      </c>
      <c r="K32" s="12">
        <v>0</v>
      </c>
      <c r="L32" s="12">
        <v>0</v>
      </c>
      <c r="M32" s="11" t="s">
        <v>87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>
        <v>0</v>
      </c>
      <c r="W32" s="12">
        <v>0</v>
      </c>
      <c r="X32" s="14">
        <v>0</v>
      </c>
      <c r="Y32" s="11" t="s">
        <v>87</v>
      </c>
      <c r="Z32" s="14">
        <v>1</v>
      </c>
      <c r="AA32" s="14">
        <v>0</v>
      </c>
      <c r="AB32" s="14">
        <v>0</v>
      </c>
      <c r="AC32" s="14">
        <v>0</v>
      </c>
      <c r="AD32" s="14">
        <v>1</v>
      </c>
      <c r="AE32" s="14">
        <v>0</v>
      </c>
      <c r="AG32">
        <f t="shared" si="0"/>
        <v>3</v>
      </c>
    </row>
    <row r="33" spans="1:33" x14ac:dyDescent="0.25">
      <c r="A33" s="11" t="s">
        <v>88</v>
      </c>
      <c r="B33" s="12">
        <f t="shared" ref="B33:G33" si="1">100-SUM(B5:B32)</f>
        <v>21.5</v>
      </c>
      <c r="C33" s="12">
        <f t="shared" si="1"/>
        <v>22.5</v>
      </c>
      <c r="D33" s="12">
        <f t="shared" si="1"/>
        <v>22.5</v>
      </c>
      <c r="E33" s="12">
        <f t="shared" si="1"/>
        <v>22.5</v>
      </c>
      <c r="F33" s="12">
        <f t="shared" si="1"/>
        <v>31.5</v>
      </c>
      <c r="G33" s="12">
        <f t="shared" si="1"/>
        <v>22.5</v>
      </c>
      <c r="H33" s="12">
        <v>2.5</v>
      </c>
      <c r="I33" s="12">
        <f>100-SUM(I5:I32)</f>
        <v>31.5</v>
      </c>
      <c r="J33" s="12">
        <f>100-SUM(J5:J32)</f>
        <v>22.5</v>
      </c>
      <c r="K33" s="12">
        <f>100-SUM(K5:K32)</f>
        <v>22.5</v>
      </c>
      <c r="L33" s="12">
        <f>100-SUM(L5:L32)</f>
        <v>22.5</v>
      </c>
      <c r="M33" s="11" t="s">
        <v>88</v>
      </c>
      <c r="N33" s="12">
        <f t="shared" ref="N33:X33" si="2">100-SUM(N5:N32)</f>
        <v>22.5</v>
      </c>
      <c r="O33" s="12">
        <f t="shared" si="2"/>
        <v>25.5</v>
      </c>
      <c r="P33" s="12">
        <f t="shared" si="2"/>
        <v>22.5</v>
      </c>
      <c r="Q33" s="12">
        <f t="shared" si="2"/>
        <v>22.5</v>
      </c>
      <c r="R33" s="12">
        <f t="shared" si="2"/>
        <v>23.5</v>
      </c>
      <c r="S33" s="12">
        <f t="shared" si="2"/>
        <v>22.5</v>
      </c>
      <c r="T33" s="12">
        <f t="shared" si="2"/>
        <v>22.5</v>
      </c>
      <c r="U33" s="12">
        <f t="shared" si="2"/>
        <v>22.5</v>
      </c>
      <c r="V33" s="12">
        <f t="shared" si="2"/>
        <v>22.5</v>
      </c>
      <c r="W33" s="12">
        <f t="shared" si="2"/>
        <v>21.5</v>
      </c>
      <c r="X33" s="14">
        <f t="shared" si="2"/>
        <v>22.5</v>
      </c>
      <c r="Y33" s="11" t="s">
        <v>88</v>
      </c>
      <c r="Z33" s="14">
        <f t="shared" ref="Z33:AE33" si="3">100-SUM(Z5:Z32)</f>
        <v>24</v>
      </c>
      <c r="AA33" s="14">
        <f t="shared" si="3"/>
        <v>32.5</v>
      </c>
      <c r="AB33" s="14">
        <f t="shared" si="3"/>
        <v>23.5</v>
      </c>
      <c r="AC33" s="14">
        <f t="shared" si="3"/>
        <v>32.5</v>
      </c>
      <c r="AD33" s="14">
        <f t="shared" si="3"/>
        <v>25</v>
      </c>
      <c r="AE33" s="14">
        <f t="shared" si="3"/>
        <v>66</v>
      </c>
      <c r="AG33">
        <f t="shared" si="0"/>
        <v>698.5</v>
      </c>
    </row>
    <row r="34" spans="1:33" x14ac:dyDescent="0.25">
      <c r="A34" s="8" t="s">
        <v>89</v>
      </c>
      <c r="B34" s="4">
        <f t="shared" ref="B34:L34" si="4">SUM(B5:B33)</f>
        <v>100</v>
      </c>
      <c r="C34" s="4">
        <f t="shared" si="4"/>
        <v>100</v>
      </c>
      <c r="D34" s="4">
        <f t="shared" si="4"/>
        <v>100</v>
      </c>
      <c r="E34" s="4">
        <f t="shared" si="4"/>
        <v>100</v>
      </c>
      <c r="F34" s="4">
        <f t="shared" si="4"/>
        <v>100</v>
      </c>
      <c r="G34" s="4">
        <f t="shared" si="4"/>
        <v>100</v>
      </c>
      <c r="H34" s="4">
        <f t="shared" si="4"/>
        <v>79.5</v>
      </c>
      <c r="I34" s="4">
        <f t="shared" si="4"/>
        <v>100</v>
      </c>
      <c r="J34" s="4">
        <f t="shared" si="4"/>
        <v>100</v>
      </c>
      <c r="K34" s="4">
        <f t="shared" si="4"/>
        <v>100</v>
      </c>
      <c r="L34" s="4">
        <f t="shared" si="4"/>
        <v>100</v>
      </c>
      <c r="M34" s="8" t="s">
        <v>89</v>
      </c>
      <c r="N34" s="4">
        <f t="shared" ref="N34:X34" si="5">SUM(N5:N33)</f>
        <v>100</v>
      </c>
      <c r="O34" s="4">
        <f t="shared" si="5"/>
        <v>100</v>
      </c>
      <c r="P34" s="4">
        <f t="shared" si="5"/>
        <v>100</v>
      </c>
      <c r="Q34" s="4">
        <f t="shared" si="5"/>
        <v>100</v>
      </c>
      <c r="R34" s="4">
        <f t="shared" si="5"/>
        <v>100</v>
      </c>
      <c r="S34" s="4">
        <f t="shared" si="5"/>
        <v>100</v>
      </c>
      <c r="T34" s="4">
        <f t="shared" si="5"/>
        <v>100</v>
      </c>
      <c r="U34" s="4">
        <f t="shared" si="5"/>
        <v>100</v>
      </c>
      <c r="V34" s="4">
        <f t="shared" si="5"/>
        <v>100</v>
      </c>
      <c r="W34" s="4">
        <f t="shared" si="5"/>
        <v>100</v>
      </c>
      <c r="X34" s="5">
        <f t="shared" si="5"/>
        <v>100</v>
      </c>
      <c r="Y34" s="8" t="s">
        <v>89</v>
      </c>
      <c r="Z34" s="5">
        <f t="shared" ref="Z34:AE34" si="6">SUM(Z5:Z33)</f>
        <v>100</v>
      </c>
      <c r="AA34" s="5">
        <f t="shared" si="6"/>
        <v>100</v>
      </c>
      <c r="AB34" s="5">
        <f t="shared" si="6"/>
        <v>100</v>
      </c>
      <c r="AC34" s="5">
        <f t="shared" si="6"/>
        <v>100</v>
      </c>
      <c r="AD34" s="5">
        <f t="shared" si="6"/>
        <v>100</v>
      </c>
      <c r="AE34" s="5">
        <f t="shared" si="6"/>
        <v>100</v>
      </c>
      <c r="AG34">
        <f>SUM(B34:AD34)</f>
        <v>2679.5</v>
      </c>
    </row>
    <row r="36" spans="1:33" ht="26.25" x14ac:dyDescent="0.4">
      <c r="A36" s="1" t="s">
        <v>90</v>
      </c>
    </row>
    <row r="37" spans="1:33" ht="26.25" x14ac:dyDescent="0.4">
      <c r="A37" s="1" t="s">
        <v>95</v>
      </c>
    </row>
    <row r="38" spans="1:33" ht="26.25" x14ac:dyDescent="0.4">
      <c r="A38" s="1" t="s">
        <v>91</v>
      </c>
    </row>
    <row r="39" spans="1:33" ht="26.25" x14ac:dyDescent="0.4">
      <c r="A39" s="1" t="s">
        <v>92</v>
      </c>
    </row>
    <row r="40" spans="1:33" ht="26.25" x14ac:dyDescent="0.4">
      <c r="A40" s="1" t="s">
        <v>96</v>
      </c>
    </row>
    <row r="41" spans="1:33" ht="26.25" x14ac:dyDescent="0.4">
      <c r="A41" s="1" t="s">
        <v>93</v>
      </c>
    </row>
    <row r="42" spans="1:33" ht="26.25" x14ac:dyDescent="0.4">
      <c r="A42" s="1" t="s">
        <v>94</v>
      </c>
    </row>
    <row r="43" spans="1:33" ht="26.25" x14ac:dyDescent="0.4">
      <c r="A43" s="1" t="s">
        <v>224</v>
      </c>
    </row>
    <row r="44" spans="1:33" ht="26.25" x14ac:dyDescent="0.4">
      <c r="A44" s="1" t="s">
        <v>225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28"/>
  <sheetViews>
    <sheetView workbookViewId="0">
      <selection sqref="A1:XFD1048576"/>
    </sheetView>
  </sheetViews>
  <sheetFormatPr defaultRowHeight="15" x14ac:dyDescent="0.25"/>
  <cols>
    <col min="1" max="1" width="16" bestFit="1" customWidth="1"/>
    <col min="2" max="2" width="10.140625" customWidth="1"/>
    <col min="3" max="3" width="10.85546875" customWidth="1"/>
    <col min="4" max="4" width="18.140625" bestFit="1" customWidth="1"/>
    <col min="5" max="5" width="13.85546875" bestFit="1" customWidth="1"/>
    <col min="6" max="6" width="10.5703125" bestFit="1" customWidth="1"/>
    <col min="7" max="7" width="14.140625" customWidth="1"/>
    <col min="12" max="12" width="28.28515625" customWidth="1"/>
  </cols>
  <sheetData>
    <row r="1" spans="1:14" x14ac:dyDescent="0.25">
      <c r="D1" s="17"/>
    </row>
    <row r="2" spans="1:14" x14ac:dyDescent="0.25">
      <c r="A2" s="8" t="s">
        <v>59</v>
      </c>
      <c r="D2" s="17"/>
    </row>
    <row r="3" spans="1:14" ht="26.25" x14ac:dyDescent="0.25">
      <c r="A3" s="18" t="s">
        <v>97</v>
      </c>
      <c r="B3" s="18" t="s">
        <v>98</v>
      </c>
      <c r="C3" s="18" t="s">
        <v>99</v>
      </c>
      <c r="D3" s="19" t="s">
        <v>100</v>
      </c>
      <c r="E3" s="18" t="s">
        <v>101</v>
      </c>
      <c r="F3" s="18" t="s">
        <v>102</v>
      </c>
      <c r="G3" s="19" t="s">
        <v>103</v>
      </c>
      <c r="H3" s="19" t="s">
        <v>104</v>
      </c>
      <c r="I3" s="19" t="s">
        <v>105</v>
      </c>
      <c r="J3" s="19" t="s">
        <v>106</v>
      </c>
      <c r="K3" s="19" t="s">
        <v>107</v>
      </c>
      <c r="L3" s="19" t="s">
        <v>108</v>
      </c>
      <c r="M3" s="19" t="s">
        <v>109</v>
      </c>
      <c r="N3" s="20" t="s">
        <v>110</v>
      </c>
    </row>
    <row r="4" spans="1:14" x14ac:dyDescent="0.25">
      <c r="A4" s="21" t="s">
        <v>111</v>
      </c>
      <c r="B4" s="21" t="s">
        <v>112</v>
      </c>
      <c r="C4" s="21">
        <v>4</v>
      </c>
      <c r="D4" s="18" t="s">
        <v>113</v>
      </c>
      <c r="E4" s="22">
        <v>174.18</v>
      </c>
      <c r="F4" s="23" t="s">
        <v>114</v>
      </c>
      <c r="G4" s="18">
        <v>4</v>
      </c>
      <c r="H4" s="21">
        <v>1000</v>
      </c>
      <c r="I4" s="24">
        <v>5.7</v>
      </c>
      <c r="J4" s="21" t="s">
        <v>115</v>
      </c>
      <c r="K4" s="25" t="s">
        <v>116</v>
      </c>
      <c r="L4" s="21"/>
      <c r="M4" s="23" t="s">
        <v>117</v>
      </c>
      <c r="N4" s="26" t="s">
        <v>118</v>
      </c>
    </row>
    <row r="5" spans="1:14" x14ac:dyDescent="0.25">
      <c r="A5" s="21" t="s">
        <v>111</v>
      </c>
      <c r="B5" s="21" t="s">
        <v>112</v>
      </c>
      <c r="C5" s="21">
        <v>4</v>
      </c>
      <c r="D5" s="18" t="s">
        <v>119</v>
      </c>
      <c r="E5" s="22">
        <v>136.09</v>
      </c>
      <c r="F5" s="23" t="s">
        <v>120</v>
      </c>
      <c r="G5" s="18">
        <v>20</v>
      </c>
      <c r="H5" s="21">
        <v>5000</v>
      </c>
      <c r="I5" s="24">
        <v>36.700000000000003</v>
      </c>
      <c r="J5" s="21" t="s">
        <v>121</v>
      </c>
      <c r="K5" s="25" t="s">
        <v>122</v>
      </c>
      <c r="L5" s="21"/>
      <c r="M5" s="23" t="s">
        <v>123</v>
      </c>
      <c r="N5" s="26" t="s">
        <v>124</v>
      </c>
    </row>
    <row r="6" spans="1:14" x14ac:dyDescent="0.25">
      <c r="A6" s="21" t="s">
        <v>111</v>
      </c>
      <c r="B6" s="21" t="s">
        <v>112</v>
      </c>
      <c r="C6" s="21">
        <v>4</v>
      </c>
      <c r="D6" s="18" t="s">
        <v>125</v>
      </c>
      <c r="E6" s="22">
        <v>243.22</v>
      </c>
      <c r="F6" s="23" t="s">
        <v>126</v>
      </c>
      <c r="G6" s="18">
        <v>2.4</v>
      </c>
      <c r="H6" s="21">
        <v>600</v>
      </c>
      <c r="I6" s="24">
        <v>2.5</v>
      </c>
      <c r="J6" s="21" t="s">
        <v>127</v>
      </c>
      <c r="K6" s="25" t="s">
        <v>128</v>
      </c>
      <c r="L6" s="21"/>
      <c r="M6" s="23" t="s">
        <v>127</v>
      </c>
      <c r="N6" s="26" t="s">
        <v>129</v>
      </c>
    </row>
    <row r="7" spans="1:14" x14ac:dyDescent="0.25">
      <c r="A7" s="21" t="s">
        <v>111</v>
      </c>
      <c r="B7" s="21" t="s">
        <v>112</v>
      </c>
      <c r="C7" s="21">
        <v>4</v>
      </c>
      <c r="D7" s="18" t="s">
        <v>130</v>
      </c>
      <c r="E7" s="22">
        <v>82.03</v>
      </c>
      <c r="F7" s="23" t="s">
        <v>131</v>
      </c>
      <c r="G7" s="18">
        <v>4</v>
      </c>
      <c r="H7" s="21">
        <v>1000</v>
      </c>
      <c r="I7" s="24">
        <v>12.2</v>
      </c>
      <c r="J7" s="21" t="s">
        <v>132</v>
      </c>
      <c r="K7" s="25" t="s">
        <v>133</v>
      </c>
      <c r="L7" s="21"/>
      <c r="M7" s="23" t="s">
        <v>134</v>
      </c>
      <c r="N7" s="26" t="s">
        <v>135</v>
      </c>
    </row>
    <row r="8" spans="1:14" ht="15.75" x14ac:dyDescent="0.25">
      <c r="A8" s="27" t="s">
        <v>136</v>
      </c>
      <c r="B8" s="27" t="s">
        <v>112</v>
      </c>
      <c r="C8" s="27">
        <v>4</v>
      </c>
      <c r="D8" s="28" t="s">
        <v>137</v>
      </c>
      <c r="E8" s="29">
        <v>198.17</v>
      </c>
      <c r="F8" s="30" t="s">
        <v>138</v>
      </c>
      <c r="G8" s="28">
        <v>48.4</v>
      </c>
      <c r="H8" s="27">
        <f>61*198</f>
        <v>12078</v>
      </c>
      <c r="I8" s="31">
        <v>61</v>
      </c>
      <c r="J8" s="27"/>
      <c r="K8" s="32" t="s">
        <v>139</v>
      </c>
      <c r="L8" s="27"/>
      <c r="M8" s="33" t="s">
        <v>140</v>
      </c>
      <c r="N8" s="34"/>
    </row>
    <row r="9" spans="1:14" x14ac:dyDescent="0.25">
      <c r="A9" s="35" t="s">
        <v>141</v>
      </c>
      <c r="B9" s="35" t="s">
        <v>112</v>
      </c>
      <c r="C9" s="35">
        <v>4</v>
      </c>
      <c r="D9" s="36" t="s">
        <v>142</v>
      </c>
      <c r="E9" s="37">
        <v>176.12</v>
      </c>
      <c r="F9" s="38" t="s">
        <v>143</v>
      </c>
      <c r="G9" s="36">
        <v>2</v>
      </c>
      <c r="H9" s="35">
        <v>500</v>
      </c>
      <c r="I9" s="39">
        <v>2.8</v>
      </c>
      <c r="J9" s="35" t="s">
        <v>144</v>
      </c>
      <c r="K9" s="35" t="s">
        <v>145</v>
      </c>
      <c r="L9" s="35"/>
      <c r="M9" s="38" t="s">
        <v>144</v>
      </c>
      <c r="N9" s="40" t="s">
        <v>146</v>
      </c>
    </row>
    <row r="10" spans="1:14" x14ac:dyDescent="0.25">
      <c r="D10" s="17"/>
      <c r="G10" s="17"/>
    </row>
    <row r="11" spans="1:14" x14ac:dyDescent="0.25">
      <c r="D11" s="17"/>
      <c r="G11" s="17"/>
    </row>
    <row r="12" spans="1:14" x14ac:dyDescent="0.25">
      <c r="D12" s="17"/>
      <c r="G12" s="17"/>
    </row>
    <row r="13" spans="1:14" x14ac:dyDescent="0.25">
      <c r="A13" s="8" t="s">
        <v>61</v>
      </c>
      <c r="D13" s="17"/>
      <c r="G13" s="17"/>
    </row>
    <row r="14" spans="1:14" x14ac:dyDescent="0.25">
      <c r="D14" s="17"/>
      <c r="G14" s="17"/>
    </row>
    <row r="15" spans="1:14" ht="26.25" x14ac:dyDescent="0.25">
      <c r="A15" s="18" t="s">
        <v>97</v>
      </c>
      <c r="B15" s="18" t="s">
        <v>98</v>
      </c>
      <c r="C15" s="18" t="s">
        <v>99</v>
      </c>
      <c r="D15" s="19" t="s">
        <v>100</v>
      </c>
      <c r="E15" s="18" t="s">
        <v>101</v>
      </c>
      <c r="F15" s="18" t="s">
        <v>102</v>
      </c>
      <c r="G15" s="19" t="s">
        <v>103</v>
      </c>
      <c r="H15" s="19" t="s">
        <v>104</v>
      </c>
      <c r="I15" s="19" t="s">
        <v>105</v>
      </c>
      <c r="J15" s="19" t="s">
        <v>106</v>
      </c>
      <c r="K15" s="19" t="s">
        <v>107</v>
      </c>
      <c r="L15" s="19" t="s">
        <v>108</v>
      </c>
      <c r="M15" s="19" t="s">
        <v>109</v>
      </c>
      <c r="N15" s="20" t="s">
        <v>110</v>
      </c>
    </row>
    <row r="16" spans="1:14" x14ac:dyDescent="0.25">
      <c r="A16" s="35" t="s">
        <v>147</v>
      </c>
      <c r="B16" s="35" t="s">
        <v>148</v>
      </c>
      <c r="C16" s="35">
        <v>50</v>
      </c>
      <c r="D16" s="41" t="s">
        <v>149</v>
      </c>
      <c r="E16" s="42">
        <v>135.13</v>
      </c>
      <c r="F16" s="43" t="s">
        <v>150</v>
      </c>
      <c r="G16" s="36">
        <v>1.9</v>
      </c>
      <c r="H16" s="44">
        <v>38.5</v>
      </c>
      <c r="I16" s="45">
        <v>0.28491082661141126</v>
      </c>
      <c r="J16" s="46"/>
      <c r="K16" s="46" t="s">
        <v>149</v>
      </c>
      <c r="L16" s="46"/>
      <c r="M16" s="43" t="s">
        <v>151</v>
      </c>
      <c r="N16" s="47" t="s">
        <v>152</v>
      </c>
    </row>
    <row r="17" spans="1:14" x14ac:dyDescent="0.25">
      <c r="A17" s="35" t="s">
        <v>147</v>
      </c>
      <c r="B17" s="35" t="s">
        <v>148</v>
      </c>
      <c r="C17" s="35">
        <v>50</v>
      </c>
      <c r="D17" s="41" t="s">
        <v>153</v>
      </c>
      <c r="E17" s="42">
        <v>151.13</v>
      </c>
      <c r="F17" s="43" t="s">
        <v>154</v>
      </c>
      <c r="G17" s="36">
        <v>1.1000000000000001</v>
      </c>
      <c r="H17" s="44">
        <v>22</v>
      </c>
      <c r="I17" s="45">
        <v>0.14557003903923774</v>
      </c>
      <c r="J17" s="46"/>
      <c r="K17" s="46" t="s">
        <v>153</v>
      </c>
      <c r="L17" s="46"/>
      <c r="M17" s="43" t="s">
        <v>155</v>
      </c>
      <c r="N17" s="47" t="s">
        <v>156</v>
      </c>
    </row>
    <row r="18" spans="1:14" x14ac:dyDescent="0.25">
      <c r="A18" s="35" t="s">
        <v>147</v>
      </c>
      <c r="B18" s="35" t="s">
        <v>148</v>
      </c>
      <c r="C18" s="35">
        <v>50</v>
      </c>
      <c r="D18" s="41" t="s">
        <v>157</v>
      </c>
      <c r="E18" s="42">
        <v>112.09</v>
      </c>
      <c r="F18" s="43" t="s">
        <v>158</v>
      </c>
      <c r="G18" s="36">
        <v>1.1000000000000001</v>
      </c>
      <c r="H18" s="44">
        <v>22</v>
      </c>
      <c r="I18" s="45">
        <v>0.19627085377821393</v>
      </c>
      <c r="J18" s="46"/>
      <c r="K18" s="46" t="s">
        <v>157</v>
      </c>
      <c r="L18" s="46"/>
      <c r="M18" s="43" t="s">
        <v>159</v>
      </c>
      <c r="N18" s="47" t="s">
        <v>160</v>
      </c>
    </row>
    <row r="21" spans="1:14" x14ac:dyDescent="0.25">
      <c r="A21" s="48" t="s">
        <v>161</v>
      </c>
    </row>
    <row r="22" spans="1:14" x14ac:dyDescent="0.25">
      <c r="A22" s="35" t="s">
        <v>162</v>
      </c>
      <c r="B22" s="35" t="s">
        <v>163</v>
      </c>
      <c r="C22" s="28">
        <v>20</v>
      </c>
      <c r="D22" s="28" t="s">
        <v>164</v>
      </c>
      <c r="E22" s="49">
        <v>152.11000000000001</v>
      </c>
      <c r="F22" s="50" t="s">
        <v>165</v>
      </c>
      <c r="G22" s="28">
        <v>0.2</v>
      </c>
      <c r="H22" s="27">
        <v>10</v>
      </c>
      <c r="I22" s="51">
        <v>6.6000000000000003E-2</v>
      </c>
      <c r="J22" s="50" t="s">
        <v>166</v>
      </c>
      <c r="K22" s="52" t="s">
        <v>164</v>
      </c>
      <c r="L22" s="52"/>
      <c r="M22" s="50" t="s">
        <v>166</v>
      </c>
      <c r="N22" s="53" t="s">
        <v>167</v>
      </c>
    </row>
    <row r="23" spans="1:14" ht="15.75" x14ac:dyDescent="0.25">
      <c r="A23" s="54" t="s">
        <v>111</v>
      </c>
      <c r="B23" s="35" t="s">
        <v>163</v>
      </c>
      <c r="C23" s="54">
        <v>20</v>
      </c>
      <c r="D23" s="55" t="s">
        <v>168</v>
      </c>
      <c r="E23" s="56">
        <v>84</v>
      </c>
      <c r="F23" s="57" t="s">
        <v>169</v>
      </c>
      <c r="G23" s="55">
        <v>50</v>
      </c>
      <c r="H23" s="58">
        <v>2500</v>
      </c>
      <c r="I23" s="59">
        <v>30</v>
      </c>
      <c r="J23" s="54" t="s">
        <v>170</v>
      </c>
      <c r="K23" s="54" t="s">
        <v>171</v>
      </c>
      <c r="L23" s="54" t="s">
        <v>172</v>
      </c>
      <c r="M23" s="54" t="s">
        <v>173</v>
      </c>
      <c r="N23" s="60" t="s">
        <v>174</v>
      </c>
    </row>
    <row r="27" spans="1:14" x14ac:dyDescent="0.25">
      <c r="A27" s="8" t="s">
        <v>63</v>
      </c>
      <c r="C27" t="s">
        <v>175</v>
      </c>
    </row>
    <row r="28" spans="1:14" x14ac:dyDescent="0.25">
      <c r="A28" s="8" t="s">
        <v>64</v>
      </c>
      <c r="C28" t="s">
        <v>175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opLeftCell="A4" workbookViewId="0">
      <selection activeCell="A10" sqref="A10:B38"/>
    </sheetView>
  </sheetViews>
  <sheetFormatPr defaultRowHeight="15" x14ac:dyDescent="0.25"/>
  <cols>
    <col min="1" max="1" width="15.7109375" customWidth="1"/>
    <col min="2" max="2" width="14.28515625" bestFit="1" customWidth="1"/>
    <col min="10" max="11" width="17" bestFit="1" customWidth="1"/>
  </cols>
  <sheetData>
    <row r="1" spans="1:12" x14ac:dyDescent="0.25">
      <c r="A1" t="s">
        <v>211</v>
      </c>
    </row>
    <row r="2" spans="1:12" x14ac:dyDescent="0.25">
      <c r="A2" t="s">
        <v>212</v>
      </c>
    </row>
    <row r="3" spans="1:12" x14ac:dyDescent="0.25">
      <c r="A3" t="s">
        <v>91</v>
      </c>
    </row>
    <row r="4" spans="1:12" x14ac:dyDescent="0.25">
      <c r="A4" t="s">
        <v>213</v>
      </c>
    </row>
    <row r="5" spans="1:12" x14ac:dyDescent="0.25">
      <c r="A5" t="s">
        <v>214</v>
      </c>
    </row>
    <row r="6" spans="1:12" x14ac:dyDescent="0.25">
      <c r="A6" t="s">
        <v>176</v>
      </c>
    </row>
    <row r="7" spans="1:12" x14ac:dyDescent="0.25">
      <c r="A7" t="s">
        <v>215</v>
      </c>
    </row>
    <row r="8" spans="1:12" x14ac:dyDescent="0.25">
      <c r="J8" t="s">
        <v>223</v>
      </c>
    </row>
    <row r="9" spans="1:12" x14ac:dyDescent="0.25">
      <c r="C9" s="79" t="s">
        <v>177</v>
      </c>
      <c r="D9" s="79"/>
      <c r="E9" s="79"/>
      <c r="F9" s="79"/>
      <c r="G9" s="79"/>
      <c r="H9" s="79"/>
      <c r="J9" s="79" t="s">
        <v>178</v>
      </c>
      <c r="K9" s="79"/>
      <c r="L9" s="79"/>
    </row>
    <row r="10" spans="1:12" x14ac:dyDescent="0.25">
      <c r="B10" s="26" t="s">
        <v>179</v>
      </c>
      <c r="C10" s="79" t="s">
        <v>216</v>
      </c>
      <c r="D10" s="79"/>
      <c r="E10" s="79"/>
      <c r="F10" s="79"/>
      <c r="G10" s="79"/>
      <c r="H10" s="79"/>
      <c r="J10" t="s">
        <v>216</v>
      </c>
    </row>
    <row r="11" spans="1:12" x14ac:dyDescent="0.25">
      <c r="A11" t="s">
        <v>180</v>
      </c>
      <c r="B11" s="61" t="s">
        <v>181</v>
      </c>
      <c r="C11" s="62">
        <v>0.50600000000000001</v>
      </c>
      <c r="D11" s="64">
        <v>0.48699999999999999</v>
      </c>
      <c r="E11" s="64"/>
      <c r="F11" s="64"/>
      <c r="G11" s="64"/>
      <c r="H11" s="64"/>
      <c r="I11" s="64"/>
      <c r="J11" s="67">
        <f>(C11+D11)/2*5</f>
        <v>2.4824999999999999</v>
      </c>
    </row>
    <row r="12" spans="1:12" x14ac:dyDescent="0.25">
      <c r="A12" t="s">
        <v>182</v>
      </c>
      <c r="B12" s="26" t="s">
        <v>31</v>
      </c>
      <c r="C12" s="62">
        <v>0.45700000000000002</v>
      </c>
      <c r="D12" s="64">
        <v>0.44700000000000001</v>
      </c>
      <c r="E12" s="64"/>
      <c r="F12" s="64"/>
      <c r="G12" s="64"/>
      <c r="H12" s="64"/>
      <c r="I12" s="64"/>
      <c r="J12" s="67">
        <f t="shared" ref="J12:J38" si="0">(C12+D12)/2*5</f>
        <v>2.2600000000000002</v>
      </c>
    </row>
    <row r="13" spans="1:12" x14ac:dyDescent="0.25">
      <c r="A13" t="s">
        <v>183</v>
      </c>
      <c r="B13" s="26" t="s">
        <v>32</v>
      </c>
      <c r="C13" s="62">
        <v>1.7999999999999999E-2</v>
      </c>
      <c r="D13" s="64">
        <v>1.9E-2</v>
      </c>
      <c r="E13" s="64"/>
      <c r="F13" s="64"/>
      <c r="G13" s="64"/>
      <c r="H13" s="64"/>
      <c r="I13" s="64"/>
      <c r="J13" s="67">
        <f t="shared" si="0"/>
        <v>9.2499999999999999E-2</v>
      </c>
    </row>
    <row r="14" spans="1:12" x14ac:dyDescent="0.25">
      <c r="A14" t="s">
        <v>184</v>
      </c>
      <c r="B14" s="26" t="s">
        <v>33</v>
      </c>
      <c r="C14" s="62">
        <v>0.48299999999999998</v>
      </c>
      <c r="D14" s="66">
        <v>0.47699999999999998</v>
      </c>
      <c r="E14" s="64"/>
      <c r="F14" s="64"/>
      <c r="G14" s="64"/>
      <c r="H14" s="64"/>
      <c r="I14" s="64"/>
      <c r="J14" s="67">
        <f t="shared" si="0"/>
        <v>2.4</v>
      </c>
    </row>
    <row r="15" spans="1:12" x14ac:dyDescent="0.25">
      <c r="A15" t="s">
        <v>185</v>
      </c>
      <c r="B15" s="26" t="s">
        <v>34</v>
      </c>
      <c r="C15" s="62">
        <v>0.52600000000000002</v>
      </c>
      <c r="D15" s="66">
        <v>0.51800000000000002</v>
      </c>
      <c r="E15" s="64"/>
      <c r="F15" s="64"/>
      <c r="G15" s="64"/>
      <c r="H15" s="64"/>
      <c r="I15" s="64"/>
      <c r="J15" s="67">
        <f t="shared" si="0"/>
        <v>2.6100000000000003</v>
      </c>
    </row>
    <row r="16" spans="1:12" x14ac:dyDescent="0.25">
      <c r="A16" t="s">
        <v>186</v>
      </c>
      <c r="B16" s="26" t="s">
        <v>35</v>
      </c>
      <c r="C16" s="62">
        <v>0.47799999999999998</v>
      </c>
      <c r="D16" s="66">
        <v>0.46800000000000003</v>
      </c>
      <c r="E16" s="64"/>
      <c r="F16" s="64"/>
      <c r="G16" s="64"/>
      <c r="H16" s="64"/>
      <c r="I16" s="64"/>
      <c r="J16" s="67">
        <f t="shared" si="0"/>
        <v>2.3649999999999998</v>
      </c>
    </row>
    <row r="17" spans="1:11" x14ac:dyDescent="0.25">
      <c r="A17" t="s">
        <v>187</v>
      </c>
      <c r="B17" s="26" t="s">
        <v>36</v>
      </c>
      <c r="C17" s="62">
        <v>0.48599999999999999</v>
      </c>
      <c r="D17" s="66">
        <v>0.48</v>
      </c>
      <c r="E17" s="64"/>
      <c r="F17" s="64"/>
      <c r="G17" s="64"/>
      <c r="H17" s="64"/>
      <c r="I17" s="64"/>
      <c r="J17" s="67">
        <f t="shared" si="0"/>
        <v>2.415</v>
      </c>
    </row>
    <row r="18" spans="1:11" x14ac:dyDescent="0.25">
      <c r="A18" t="s">
        <v>188</v>
      </c>
      <c r="B18" s="26" t="s">
        <v>37</v>
      </c>
      <c r="C18" s="62">
        <v>0.46</v>
      </c>
      <c r="D18" s="66">
        <v>0.54800000000000004</v>
      </c>
      <c r="E18" s="64"/>
      <c r="F18" s="64"/>
      <c r="G18" s="64"/>
      <c r="H18" s="64"/>
      <c r="I18" s="64"/>
      <c r="J18" s="67">
        <f t="shared" si="0"/>
        <v>2.52</v>
      </c>
    </row>
    <row r="19" spans="1:11" x14ac:dyDescent="0.25">
      <c r="A19" t="s">
        <v>189</v>
      </c>
      <c r="B19" s="26" t="s">
        <v>38</v>
      </c>
      <c r="C19" s="62">
        <v>0.48299999999999998</v>
      </c>
      <c r="D19" s="66">
        <v>0.48399999999999999</v>
      </c>
      <c r="E19" s="64"/>
      <c r="F19" s="64"/>
      <c r="G19" s="64"/>
      <c r="H19" s="64"/>
      <c r="I19" s="64"/>
      <c r="J19" s="67">
        <f t="shared" si="0"/>
        <v>2.4175</v>
      </c>
    </row>
    <row r="20" spans="1:11" x14ac:dyDescent="0.25">
      <c r="A20" t="s">
        <v>190</v>
      </c>
      <c r="B20" s="26" t="s">
        <v>39</v>
      </c>
      <c r="C20" s="62">
        <v>5.6000000000000001E-2</v>
      </c>
      <c r="D20" s="66">
        <v>5.6000000000000001E-2</v>
      </c>
      <c r="E20" s="64"/>
      <c r="F20" s="64"/>
      <c r="G20" s="64"/>
      <c r="H20" s="64"/>
      <c r="I20" s="64"/>
      <c r="J20" s="67">
        <f t="shared" si="0"/>
        <v>0.28000000000000003</v>
      </c>
    </row>
    <row r="21" spans="1:11" x14ac:dyDescent="0.25">
      <c r="A21" t="s">
        <v>191</v>
      </c>
      <c r="B21" s="26" t="s">
        <v>40</v>
      </c>
      <c r="C21" s="62">
        <v>4.8000000000000001E-2</v>
      </c>
      <c r="D21" s="66">
        <v>4.7E-2</v>
      </c>
      <c r="E21" s="64"/>
      <c r="F21" s="64"/>
      <c r="G21" s="64"/>
      <c r="H21" s="64"/>
      <c r="I21" s="64"/>
      <c r="J21" s="67">
        <f t="shared" si="0"/>
        <v>0.23749999999999999</v>
      </c>
    </row>
    <row r="22" spans="1:11" x14ac:dyDescent="0.25">
      <c r="A22" t="s">
        <v>192</v>
      </c>
      <c r="B22" s="26" t="s">
        <v>41</v>
      </c>
      <c r="C22" s="62">
        <v>2.3E-2</v>
      </c>
      <c r="D22" s="66">
        <v>2.1999999999999999E-2</v>
      </c>
      <c r="E22" s="64"/>
      <c r="F22" s="64"/>
      <c r="G22" s="64"/>
      <c r="H22" s="64"/>
      <c r="I22" s="64"/>
      <c r="J22" s="67">
        <f t="shared" si="0"/>
        <v>0.11249999999999999</v>
      </c>
    </row>
    <row r="23" spans="1:11" x14ac:dyDescent="0.25">
      <c r="A23" t="s">
        <v>193</v>
      </c>
      <c r="B23" s="26" t="s">
        <v>42</v>
      </c>
      <c r="C23" s="62">
        <v>3.7999999999999999E-2</v>
      </c>
      <c r="D23" s="66">
        <v>3.6999999999999998E-2</v>
      </c>
      <c r="E23" s="64"/>
      <c r="F23" s="64"/>
      <c r="G23" s="64"/>
      <c r="H23" s="64"/>
      <c r="I23" s="64"/>
      <c r="J23" s="67">
        <f t="shared" si="0"/>
        <v>0.1875</v>
      </c>
    </row>
    <row r="24" spans="1:11" x14ac:dyDescent="0.25">
      <c r="A24" t="s">
        <v>194</v>
      </c>
      <c r="B24" s="26" t="s">
        <v>43</v>
      </c>
      <c r="C24" s="62">
        <v>0.29399999999999998</v>
      </c>
      <c r="D24" s="66">
        <v>0.29899999999999999</v>
      </c>
      <c r="E24" s="64"/>
      <c r="F24" s="64"/>
      <c r="G24" s="64"/>
      <c r="H24" s="64"/>
      <c r="I24" s="64"/>
      <c r="J24" s="67">
        <f t="shared" si="0"/>
        <v>1.4824999999999999</v>
      </c>
    </row>
    <row r="25" spans="1:11" x14ac:dyDescent="0.25">
      <c r="A25" t="s">
        <v>195</v>
      </c>
      <c r="B25" s="26" t="s">
        <v>44</v>
      </c>
      <c r="C25" s="62">
        <v>4.2000000000000003E-2</v>
      </c>
      <c r="D25" s="66">
        <v>7.0000000000000007E-2</v>
      </c>
      <c r="E25" s="64"/>
      <c r="F25" s="64"/>
      <c r="G25" s="64"/>
      <c r="H25" s="64"/>
      <c r="I25" s="64"/>
      <c r="J25" s="67">
        <f t="shared" si="0"/>
        <v>0.28000000000000003</v>
      </c>
    </row>
    <row r="26" spans="1:11" x14ac:dyDescent="0.25">
      <c r="A26" t="s">
        <v>196</v>
      </c>
      <c r="B26" s="26" t="s">
        <v>45</v>
      </c>
      <c r="C26" s="62">
        <v>0.46</v>
      </c>
      <c r="D26" s="66">
        <v>0.45700000000000002</v>
      </c>
      <c r="E26" s="64"/>
      <c r="F26" s="64"/>
      <c r="G26" s="64"/>
      <c r="H26" s="64"/>
      <c r="I26" s="64"/>
      <c r="J26" s="67">
        <f t="shared" si="0"/>
        <v>2.2925</v>
      </c>
    </row>
    <row r="27" spans="1:11" x14ac:dyDescent="0.25">
      <c r="A27" t="s">
        <v>197</v>
      </c>
      <c r="B27" s="26" t="s">
        <v>46</v>
      </c>
      <c r="C27" s="62">
        <v>0.48199999999999998</v>
      </c>
      <c r="D27" s="66">
        <v>0.47699999999999998</v>
      </c>
      <c r="E27" s="64"/>
      <c r="F27" s="64"/>
      <c r="G27" s="64"/>
      <c r="H27" s="64"/>
      <c r="I27" s="64"/>
      <c r="J27" s="67">
        <f t="shared" si="0"/>
        <v>2.3975</v>
      </c>
    </row>
    <row r="28" spans="1:11" x14ac:dyDescent="0.25">
      <c r="A28" t="s">
        <v>198</v>
      </c>
      <c r="B28" s="26" t="s">
        <v>47</v>
      </c>
      <c r="C28" s="62">
        <v>0.36899999999999999</v>
      </c>
      <c r="D28" s="66">
        <v>0.36199999999999999</v>
      </c>
      <c r="E28" s="64"/>
      <c r="F28" s="64"/>
      <c r="G28" s="64"/>
      <c r="H28" s="64"/>
      <c r="I28" s="64"/>
      <c r="J28" s="67">
        <f t="shared" si="0"/>
        <v>1.8274999999999999</v>
      </c>
    </row>
    <row r="29" spans="1:11" x14ac:dyDescent="0.25">
      <c r="A29" t="s">
        <v>199</v>
      </c>
      <c r="B29" s="26" t="s">
        <v>48</v>
      </c>
      <c r="C29" s="62">
        <v>0.497</v>
      </c>
      <c r="D29" s="66">
        <v>0.49099999999999999</v>
      </c>
      <c r="E29" s="64"/>
      <c r="F29" s="64"/>
      <c r="G29" s="64"/>
      <c r="H29" s="64"/>
      <c r="I29" s="64"/>
      <c r="J29" s="67">
        <f t="shared" si="0"/>
        <v>2.4699999999999998</v>
      </c>
    </row>
    <row r="30" spans="1:11" x14ac:dyDescent="0.25">
      <c r="A30" t="s">
        <v>200</v>
      </c>
      <c r="B30" s="26" t="s">
        <v>49</v>
      </c>
      <c r="C30" s="62">
        <v>3.5000000000000003E-2</v>
      </c>
      <c r="D30" s="66">
        <v>3.6999999999999998E-2</v>
      </c>
      <c r="E30" s="64"/>
      <c r="F30" s="64"/>
      <c r="G30" s="64"/>
      <c r="H30" s="64"/>
      <c r="I30" s="64"/>
      <c r="J30" s="67">
        <f t="shared" si="0"/>
        <v>0.18000000000000002</v>
      </c>
    </row>
    <row r="31" spans="1:11" x14ac:dyDescent="0.25">
      <c r="A31" t="s">
        <v>201</v>
      </c>
      <c r="B31" s="26" t="s">
        <v>50</v>
      </c>
      <c r="C31" s="62">
        <v>0.46400000000000002</v>
      </c>
      <c r="D31" s="66">
        <v>0.46400000000000002</v>
      </c>
      <c r="E31" s="65"/>
      <c r="F31" s="64"/>
      <c r="G31" s="64"/>
      <c r="H31" s="64"/>
      <c r="I31" s="64"/>
      <c r="J31" s="67">
        <f t="shared" si="0"/>
        <v>2.3200000000000003</v>
      </c>
      <c r="K31" s="63"/>
    </row>
    <row r="32" spans="1:11" x14ac:dyDescent="0.25">
      <c r="A32" t="s">
        <v>202</v>
      </c>
      <c r="B32" s="26" t="s">
        <v>51</v>
      </c>
      <c r="C32" s="62">
        <v>2.3E-2</v>
      </c>
      <c r="D32" s="66">
        <v>2.5999999999999999E-2</v>
      </c>
      <c r="E32" s="64"/>
      <c r="F32" s="64"/>
      <c r="G32" s="64"/>
      <c r="H32" s="64"/>
      <c r="I32" s="64"/>
      <c r="J32" s="67">
        <f t="shared" si="0"/>
        <v>0.1225</v>
      </c>
    </row>
    <row r="33" spans="1:10" x14ac:dyDescent="0.25">
      <c r="A33" t="s">
        <v>203</v>
      </c>
      <c r="B33" s="26" t="s">
        <v>52</v>
      </c>
      <c r="C33" s="62">
        <v>0.48699999999999999</v>
      </c>
      <c r="D33" s="66">
        <v>0.47599999999999998</v>
      </c>
      <c r="E33" s="64"/>
      <c r="F33" s="64"/>
      <c r="G33" s="64"/>
      <c r="H33" s="64"/>
      <c r="I33" s="64"/>
      <c r="J33" s="67">
        <f t="shared" si="0"/>
        <v>2.4074999999999998</v>
      </c>
    </row>
    <row r="34" spans="1:10" x14ac:dyDescent="0.25">
      <c r="A34" t="s">
        <v>204</v>
      </c>
      <c r="B34" s="26" t="s">
        <v>205</v>
      </c>
      <c r="C34" s="62">
        <v>2.5000000000000001E-2</v>
      </c>
      <c r="D34" s="66">
        <v>3.3000000000000002E-2</v>
      </c>
      <c r="E34" s="64"/>
      <c r="F34" s="64"/>
      <c r="G34" s="64"/>
      <c r="H34" s="64"/>
      <c r="I34" s="64"/>
      <c r="J34" s="67">
        <f t="shared" si="0"/>
        <v>0.14500000000000002</v>
      </c>
    </row>
    <row r="35" spans="1:10" x14ac:dyDescent="0.25">
      <c r="A35" t="s">
        <v>206</v>
      </c>
      <c r="B35" s="26" t="s">
        <v>54</v>
      </c>
      <c r="C35" s="62">
        <v>9.1999999999999998E-2</v>
      </c>
      <c r="D35" s="66">
        <v>9.1999999999999998E-2</v>
      </c>
      <c r="E35" s="64"/>
      <c r="F35" s="64"/>
      <c r="G35" s="64"/>
      <c r="H35" s="64"/>
      <c r="I35" s="64"/>
      <c r="J35" s="67">
        <f t="shared" si="0"/>
        <v>0.45999999999999996</v>
      </c>
    </row>
    <row r="36" spans="1:10" x14ac:dyDescent="0.25">
      <c r="A36" t="s">
        <v>207</v>
      </c>
      <c r="B36" s="26" t="s">
        <v>55</v>
      </c>
      <c r="C36" s="62">
        <v>0.47199999999999998</v>
      </c>
      <c r="D36" s="66">
        <v>0.46500000000000002</v>
      </c>
      <c r="E36" s="64"/>
      <c r="F36" s="64"/>
      <c r="G36" s="64"/>
      <c r="H36" s="64"/>
      <c r="I36" s="64"/>
      <c r="J36" s="67">
        <f t="shared" si="0"/>
        <v>2.3425000000000002</v>
      </c>
    </row>
    <row r="37" spans="1:10" x14ac:dyDescent="0.25">
      <c r="A37" t="s">
        <v>208</v>
      </c>
      <c r="B37" s="26" t="s">
        <v>56</v>
      </c>
      <c r="C37" s="62">
        <v>0.247</v>
      </c>
      <c r="D37" s="66">
        <v>0.245</v>
      </c>
      <c r="E37" s="64"/>
      <c r="F37" s="64"/>
      <c r="G37" s="64"/>
      <c r="H37" s="64"/>
      <c r="I37" s="64"/>
      <c r="J37" s="67">
        <f t="shared" si="0"/>
        <v>1.23</v>
      </c>
    </row>
    <row r="38" spans="1:10" x14ac:dyDescent="0.25">
      <c r="A38" t="s">
        <v>209</v>
      </c>
      <c r="B38" s="26" t="s">
        <v>210</v>
      </c>
      <c r="C38" s="62">
        <v>0</v>
      </c>
      <c r="D38" s="66">
        <v>0</v>
      </c>
      <c r="E38" s="64"/>
      <c r="F38" s="64"/>
      <c r="G38" s="64"/>
      <c r="H38" s="64"/>
      <c r="I38" s="64"/>
      <c r="J38" s="67">
        <f t="shared" si="0"/>
        <v>0</v>
      </c>
    </row>
  </sheetData>
  <mergeCells count="5">
    <mergeCell ref="C9:H9"/>
    <mergeCell ref="J9:L9"/>
    <mergeCell ref="C10:D10"/>
    <mergeCell ref="E10:F10"/>
    <mergeCell ref="G10:H10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workbookViewId="0">
      <selection activeCell="C11" sqref="C11:F11"/>
    </sheetView>
  </sheetViews>
  <sheetFormatPr defaultRowHeight="15" x14ac:dyDescent="0.25"/>
  <cols>
    <col min="1" max="1" width="14.7109375" customWidth="1"/>
    <col min="2" max="2" width="14.28515625" bestFit="1" customWidth="1"/>
  </cols>
  <sheetData>
    <row r="1" spans="1:6" x14ac:dyDescent="0.25">
      <c r="A1" t="s">
        <v>226</v>
      </c>
    </row>
    <row r="2" spans="1:6" x14ac:dyDescent="0.25">
      <c r="A2" t="s">
        <v>227</v>
      </c>
    </row>
    <row r="3" spans="1:6" x14ac:dyDescent="0.25">
      <c r="A3" t="s">
        <v>229</v>
      </c>
    </row>
    <row r="4" spans="1:6" x14ac:dyDescent="0.25">
      <c r="A4" t="s">
        <v>228</v>
      </c>
    </row>
    <row r="5" spans="1:6" x14ac:dyDescent="0.25">
      <c r="A5" t="s">
        <v>176</v>
      </c>
    </row>
    <row r="6" spans="1:6" x14ac:dyDescent="0.25">
      <c r="A6" t="s">
        <v>215</v>
      </c>
    </row>
    <row r="7" spans="1:6" x14ac:dyDescent="0.25">
      <c r="A7" s="17" t="s">
        <v>230</v>
      </c>
    </row>
    <row r="8" spans="1:6" x14ac:dyDescent="0.25">
      <c r="A8" s="17" t="s">
        <v>231</v>
      </c>
    </row>
    <row r="11" spans="1:6" x14ac:dyDescent="0.25">
      <c r="B11" s="26" t="s">
        <v>179</v>
      </c>
      <c r="C11" t="s">
        <v>232</v>
      </c>
      <c r="F11" t="s">
        <v>233</v>
      </c>
    </row>
    <row r="12" spans="1:6" x14ac:dyDescent="0.25">
      <c r="A12" t="s">
        <v>180</v>
      </c>
      <c r="B12" s="61" t="s">
        <v>181</v>
      </c>
      <c r="C12">
        <v>0.48399999999999999</v>
      </c>
      <c r="D12">
        <v>0.47199999999999998</v>
      </c>
      <c r="F12">
        <f>(C12+D12)/2*5</f>
        <v>2.3899999999999997</v>
      </c>
    </row>
    <row r="13" spans="1:6" x14ac:dyDescent="0.25">
      <c r="A13" t="s">
        <v>182</v>
      </c>
      <c r="B13" s="26" t="s">
        <v>31</v>
      </c>
      <c r="C13">
        <v>0.45200000000000001</v>
      </c>
      <c r="D13">
        <v>0.45</v>
      </c>
      <c r="F13">
        <f t="shared" ref="F13:F39" si="0">(C13+D13)/2*5</f>
        <v>2.2549999999999999</v>
      </c>
    </row>
    <row r="14" spans="1:6" x14ac:dyDescent="0.25">
      <c r="A14" t="s">
        <v>183</v>
      </c>
      <c r="B14" s="26" t="s">
        <v>32</v>
      </c>
      <c r="C14">
        <v>6.8000000000000005E-2</v>
      </c>
      <c r="D14">
        <v>6.3E-2</v>
      </c>
      <c r="F14">
        <f t="shared" si="0"/>
        <v>0.32750000000000001</v>
      </c>
    </row>
    <row r="15" spans="1:6" x14ac:dyDescent="0.25">
      <c r="A15" t="s">
        <v>184</v>
      </c>
      <c r="B15" s="26" t="s">
        <v>33</v>
      </c>
      <c r="C15">
        <v>0.495</v>
      </c>
      <c r="D15">
        <v>0.47699999999999998</v>
      </c>
      <c r="F15">
        <f t="shared" si="0"/>
        <v>2.4299999999999997</v>
      </c>
    </row>
    <row r="16" spans="1:6" x14ac:dyDescent="0.25">
      <c r="A16" t="s">
        <v>185</v>
      </c>
      <c r="B16" s="26" t="s">
        <v>34</v>
      </c>
      <c r="C16">
        <v>0.52200000000000002</v>
      </c>
      <c r="D16">
        <v>0.502</v>
      </c>
      <c r="F16">
        <f t="shared" si="0"/>
        <v>2.56</v>
      </c>
    </row>
    <row r="17" spans="1:6" x14ac:dyDescent="0.25">
      <c r="A17" t="s">
        <v>186</v>
      </c>
      <c r="B17" s="26" t="s">
        <v>35</v>
      </c>
      <c r="C17">
        <v>0.48699999999999999</v>
      </c>
      <c r="D17">
        <v>0.47099999999999997</v>
      </c>
      <c r="F17">
        <f t="shared" si="0"/>
        <v>2.395</v>
      </c>
    </row>
    <row r="18" spans="1:6" x14ac:dyDescent="0.25">
      <c r="A18" t="s">
        <v>187</v>
      </c>
      <c r="B18" s="26" t="s">
        <v>36</v>
      </c>
      <c r="C18">
        <v>0.47399999999999998</v>
      </c>
      <c r="D18">
        <v>0.46899999999999997</v>
      </c>
      <c r="F18">
        <f t="shared" si="0"/>
        <v>2.3574999999999999</v>
      </c>
    </row>
    <row r="19" spans="1:6" x14ac:dyDescent="0.25">
      <c r="A19" t="s">
        <v>188</v>
      </c>
      <c r="B19" s="26" t="s">
        <v>37</v>
      </c>
      <c r="C19">
        <v>0.47</v>
      </c>
      <c r="D19">
        <v>0.46500000000000002</v>
      </c>
      <c r="F19">
        <f t="shared" si="0"/>
        <v>2.3375000000000004</v>
      </c>
    </row>
    <row r="20" spans="1:6" x14ac:dyDescent="0.25">
      <c r="A20" t="s">
        <v>189</v>
      </c>
      <c r="B20" s="26" t="s">
        <v>38</v>
      </c>
      <c r="C20">
        <v>0.497</v>
      </c>
      <c r="D20">
        <v>0.49</v>
      </c>
      <c r="F20">
        <f t="shared" si="0"/>
        <v>2.4674999999999998</v>
      </c>
    </row>
    <row r="21" spans="1:6" x14ac:dyDescent="0.25">
      <c r="A21" t="s">
        <v>190</v>
      </c>
      <c r="B21" s="26" t="s">
        <v>39</v>
      </c>
      <c r="C21">
        <v>0.18099999999999999</v>
      </c>
      <c r="D21">
        <v>0.20499999999999999</v>
      </c>
      <c r="F21">
        <f t="shared" si="0"/>
        <v>0.96500000000000008</v>
      </c>
    </row>
    <row r="22" spans="1:6" x14ac:dyDescent="0.25">
      <c r="A22" t="s">
        <v>191</v>
      </c>
      <c r="B22" s="26" t="s">
        <v>40</v>
      </c>
      <c r="C22">
        <v>0.23799999999999999</v>
      </c>
      <c r="D22">
        <v>0.23499999999999999</v>
      </c>
      <c r="F22">
        <f t="shared" si="0"/>
        <v>1.1824999999999999</v>
      </c>
    </row>
    <row r="23" spans="1:6" x14ac:dyDescent="0.25">
      <c r="A23" t="s">
        <v>192</v>
      </c>
      <c r="B23" s="26" t="s">
        <v>41</v>
      </c>
      <c r="C23">
        <v>9.9000000000000005E-2</v>
      </c>
      <c r="D23">
        <v>0.1</v>
      </c>
      <c r="F23">
        <f t="shared" si="0"/>
        <v>0.49750000000000005</v>
      </c>
    </row>
    <row r="24" spans="1:6" x14ac:dyDescent="0.25">
      <c r="A24" t="s">
        <v>193</v>
      </c>
      <c r="B24" s="26" t="s">
        <v>42</v>
      </c>
      <c r="C24">
        <v>0.217</v>
      </c>
      <c r="D24">
        <v>0.218</v>
      </c>
      <c r="F24">
        <f t="shared" si="0"/>
        <v>1.0874999999999999</v>
      </c>
    </row>
    <row r="25" spans="1:6" x14ac:dyDescent="0.25">
      <c r="A25" t="s">
        <v>194</v>
      </c>
      <c r="B25" s="26" t="s">
        <v>43</v>
      </c>
      <c r="C25">
        <v>0.38900000000000001</v>
      </c>
      <c r="D25">
        <v>0.38900000000000001</v>
      </c>
      <c r="F25">
        <f t="shared" si="0"/>
        <v>1.9450000000000001</v>
      </c>
    </row>
    <row r="26" spans="1:6" x14ac:dyDescent="0.25">
      <c r="A26" t="s">
        <v>195</v>
      </c>
      <c r="B26" s="26" t="s">
        <v>44</v>
      </c>
      <c r="C26">
        <v>0.17</v>
      </c>
      <c r="D26">
        <v>0.16800000000000001</v>
      </c>
      <c r="F26">
        <f t="shared" si="0"/>
        <v>0.84500000000000008</v>
      </c>
    </row>
    <row r="27" spans="1:6" x14ac:dyDescent="0.25">
      <c r="A27" t="s">
        <v>196</v>
      </c>
      <c r="B27" s="26" t="s">
        <v>45</v>
      </c>
      <c r="C27">
        <v>0.45600000000000002</v>
      </c>
      <c r="D27">
        <v>0.45</v>
      </c>
      <c r="F27">
        <f t="shared" si="0"/>
        <v>2.2650000000000001</v>
      </c>
    </row>
    <row r="28" spans="1:6" x14ac:dyDescent="0.25">
      <c r="A28" t="s">
        <v>197</v>
      </c>
      <c r="B28" s="26" t="s">
        <v>46</v>
      </c>
      <c r="C28">
        <v>0.46600000000000003</v>
      </c>
      <c r="D28">
        <v>0.47899999999999998</v>
      </c>
      <c r="F28">
        <f t="shared" si="0"/>
        <v>2.3625000000000003</v>
      </c>
    </row>
    <row r="29" spans="1:6" x14ac:dyDescent="0.25">
      <c r="A29" t="s">
        <v>198</v>
      </c>
      <c r="B29" s="26" t="s">
        <v>47</v>
      </c>
      <c r="C29">
        <v>0.371</v>
      </c>
      <c r="D29">
        <v>0.376</v>
      </c>
      <c r="F29">
        <f t="shared" si="0"/>
        <v>1.8674999999999999</v>
      </c>
    </row>
    <row r="30" spans="1:6" x14ac:dyDescent="0.25">
      <c r="A30" t="s">
        <v>199</v>
      </c>
      <c r="B30" s="26" t="s">
        <v>48</v>
      </c>
      <c r="C30">
        <v>0.503</v>
      </c>
      <c r="D30">
        <v>0.5</v>
      </c>
      <c r="F30">
        <f t="shared" si="0"/>
        <v>2.5075000000000003</v>
      </c>
    </row>
    <row r="31" spans="1:6" x14ac:dyDescent="0.25">
      <c r="A31" t="s">
        <v>200</v>
      </c>
      <c r="B31" s="26" t="s">
        <v>49</v>
      </c>
      <c r="C31">
        <v>0.26900000000000002</v>
      </c>
      <c r="D31">
        <v>0.26900000000000002</v>
      </c>
      <c r="F31">
        <f t="shared" si="0"/>
        <v>1.3450000000000002</v>
      </c>
    </row>
    <row r="32" spans="1:6" x14ac:dyDescent="0.25">
      <c r="A32" t="s">
        <v>201</v>
      </c>
      <c r="B32" s="26" t="s">
        <v>50</v>
      </c>
      <c r="C32">
        <v>0.47499999999999998</v>
      </c>
      <c r="D32">
        <v>0.46500000000000002</v>
      </c>
      <c r="F32">
        <f t="shared" si="0"/>
        <v>2.3499999999999996</v>
      </c>
    </row>
    <row r="33" spans="1:6" x14ac:dyDescent="0.25">
      <c r="A33" t="s">
        <v>202</v>
      </c>
      <c r="B33" s="26" t="s">
        <v>51</v>
      </c>
      <c r="C33">
        <v>0.14699999999999999</v>
      </c>
      <c r="D33">
        <v>0.14599999999999999</v>
      </c>
      <c r="F33">
        <f t="shared" si="0"/>
        <v>0.73249999999999993</v>
      </c>
    </row>
    <row r="34" spans="1:6" x14ac:dyDescent="0.25">
      <c r="A34" t="s">
        <v>203</v>
      </c>
      <c r="B34" s="26" t="s">
        <v>52</v>
      </c>
      <c r="C34">
        <v>0.50700000000000001</v>
      </c>
      <c r="D34">
        <v>0.48599999999999999</v>
      </c>
      <c r="F34">
        <f t="shared" si="0"/>
        <v>2.4824999999999999</v>
      </c>
    </row>
    <row r="35" spans="1:6" x14ac:dyDescent="0.25">
      <c r="A35" t="s">
        <v>204</v>
      </c>
      <c r="B35" s="26" t="s">
        <v>205</v>
      </c>
      <c r="C35">
        <v>6.5000000000000002E-2</v>
      </c>
      <c r="D35">
        <v>6.6000000000000003E-2</v>
      </c>
      <c r="F35">
        <f t="shared" si="0"/>
        <v>0.32750000000000001</v>
      </c>
    </row>
    <row r="36" spans="1:6" x14ac:dyDescent="0.25">
      <c r="A36" t="s">
        <v>206</v>
      </c>
      <c r="B36" s="26" t="s">
        <v>54</v>
      </c>
      <c r="C36">
        <v>0.19700000000000001</v>
      </c>
      <c r="D36">
        <v>0.192</v>
      </c>
      <c r="F36">
        <f t="shared" si="0"/>
        <v>0.97250000000000003</v>
      </c>
    </row>
    <row r="37" spans="1:6" x14ac:dyDescent="0.25">
      <c r="A37" t="s">
        <v>207</v>
      </c>
      <c r="B37" s="26" t="s">
        <v>55</v>
      </c>
      <c r="C37">
        <v>0.47199999999999998</v>
      </c>
      <c r="D37">
        <v>0.46700000000000003</v>
      </c>
      <c r="F37">
        <f t="shared" si="0"/>
        <v>2.3475000000000001</v>
      </c>
    </row>
    <row r="38" spans="1:6" x14ac:dyDescent="0.25">
      <c r="A38" t="s">
        <v>208</v>
      </c>
      <c r="B38" s="26" t="s">
        <v>56</v>
      </c>
      <c r="C38">
        <v>0.28899999999999998</v>
      </c>
      <c r="D38">
        <v>0.28799999999999998</v>
      </c>
      <c r="F38">
        <f t="shared" si="0"/>
        <v>1.4424999999999999</v>
      </c>
    </row>
    <row r="39" spans="1:6" x14ac:dyDescent="0.25">
      <c r="A39" t="s">
        <v>209</v>
      </c>
      <c r="B39" s="26" t="s">
        <v>210</v>
      </c>
      <c r="C39">
        <v>2.8000000000000001E-2</v>
      </c>
      <c r="D39">
        <v>3.5000000000000003E-2</v>
      </c>
      <c r="F39">
        <f t="shared" si="0"/>
        <v>0.1575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workbookViewId="0">
      <selection activeCell="J11" sqref="J11"/>
    </sheetView>
  </sheetViews>
  <sheetFormatPr defaultRowHeight="15" x14ac:dyDescent="0.25"/>
  <cols>
    <col min="1" max="1" width="13.85546875" customWidth="1"/>
    <col min="2" max="2" width="14.28515625" bestFit="1" customWidth="1"/>
  </cols>
  <sheetData>
    <row r="1" spans="1:6" x14ac:dyDescent="0.25">
      <c r="A1" t="s">
        <v>254</v>
      </c>
    </row>
    <row r="2" spans="1:6" x14ac:dyDescent="0.25">
      <c r="A2" t="s">
        <v>235</v>
      </c>
    </row>
    <row r="3" spans="1:6" x14ac:dyDescent="0.25">
      <c r="A3" t="s">
        <v>236</v>
      </c>
    </row>
    <row r="5" spans="1:6" x14ac:dyDescent="0.25">
      <c r="A5" t="s">
        <v>176</v>
      </c>
    </row>
    <row r="6" spans="1:6" x14ac:dyDescent="0.25">
      <c r="A6" t="s">
        <v>215</v>
      </c>
    </row>
    <row r="8" spans="1:6" x14ac:dyDescent="0.25">
      <c r="B8" s="68" t="s">
        <v>179</v>
      </c>
      <c r="C8" t="s">
        <v>232</v>
      </c>
      <c r="F8" t="s">
        <v>233</v>
      </c>
    </row>
    <row r="9" spans="1:6" x14ac:dyDescent="0.25">
      <c r="A9" t="s">
        <v>180</v>
      </c>
      <c r="B9" s="61" t="s">
        <v>181</v>
      </c>
      <c r="C9">
        <v>0.45200000000000001</v>
      </c>
      <c r="D9">
        <v>0.44600000000000001</v>
      </c>
      <c r="F9">
        <f>(C9+D9)/2*5</f>
        <v>2.2450000000000001</v>
      </c>
    </row>
    <row r="10" spans="1:6" x14ac:dyDescent="0.25">
      <c r="A10" t="s">
        <v>182</v>
      </c>
      <c r="B10" s="68" t="s">
        <v>31</v>
      </c>
      <c r="C10">
        <v>0.39700000000000002</v>
      </c>
      <c r="D10">
        <v>0.38900000000000001</v>
      </c>
      <c r="F10">
        <f t="shared" ref="F10:F36" si="0">(C10+D10)/2*5</f>
        <v>1.9650000000000001</v>
      </c>
    </row>
    <row r="11" spans="1:6" x14ac:dyDescent="0.25">
      <c r="A11" t="s">
        <v>183</v>
      </c>
      <c r="B11" s="68" t="s">
        <v>32</v>
      </c>
      <c r="C11">
        <v>4.2999999999999997E-2</v>
      </c>
      <c r="D11">
        <v>4.2000000000000003E-2</v>
      </c>
      <c r="F11">
        <f t="shared" si="0"/>
        <v>0.21249999999999997</v>
      </c>
    </row>
    <row r="12" spans="1:6" x14ac:dyDescent="0.25">
      <c r="A12" t="s">
        <v>184</v>
      </c>
      <c r="B12" s="68" t="s">
        <v>33</v>
      </c>
      <c r="C12">
        <v>0.46700000000000003</v>
      </c>
      <c r="D12">
        <v>0.46100000000000002</v>
      </c>
      <c r="F12">
        <f t="shared" si="0"/>
        <v>2.3200000000000003</v>
      </c>
    </row>
    <row r="13" spans="1:6" x14ac:dyDescent="0.25">
      <c r="A13" t="s">
        <v>185</v>
      </c>
      <c r="B13" s="68" t="s">
        <v>34</v>
      </c>
      <c r="C13">
        <v>0.47399999999999998</v>
      </c>
      <c r="D13">
        <v>0.46100000000000002</v>
      </c>
      <c r="F13">
        <f t="shared" si="0"/>
        <v>2.3375000000000004</v>
      </c>
    </row>
    <row r="14" spans="1:6" x14ac:dyDescent="0.25">
      <c r="A14" t="s">
        <v>186</v>
      </c>
      <c r="B14" s="68" t="s">
        <v>35</v>
      </c>
      <c r="C14">
        <v>0.50700000000000001</v>
      </c>
      <c r="D14">
        <v>0.51100000000000001</v>
      </c>
      <c r="F14">
        <f t="shared" si="0"/>
        <v>2.5449999999999999</v>
      </c>
    </row>
    <row r="15" spans="1:6" x14ac:dyDescent="0.25">
      <c r="A15" t="s">
        <v>187</v>
      </c>
      <c r="B15" s="68" t="s">
        <v>36</v>
      </c>
      <c r="C15">
        <v>0.40300000000000002</v>
      </c>
      <c r="D15">
        <v>0.40899999999999997</v>
      </c>
      <c r="E15">
        <v>0.39700000000000002</v>
      </c>
      <c r="F15">
        <f>(C15+D15+E15)/3*5</f>
        <v>2.0150000000000001</v>
      </c>
    </row>
    <row r="16" spans="1:6" x14ac:dyDescent="0.25">
      <c r="A16" t="s">
        <v>188</v>
      </c>
      <c r="B16" s="68" t="s">
        <v>37</v>
      </c>
      <c r="C16">
        <v>0.44600000000000001</v>
      </c>
      <c r="D16">
        <v>0.42599999999999999</v>
      </c>
      <c r="F16">
        <f t="shared" si="0"/>
        <v>2.1800000000000002</v>
      </c>
    </row>
    <row r="17" spans="1:6" x14ac:dyDescent="0.25">
      <c r="A17" t="s">
        <v>189</v>
      </c>
      <c r="B17" s="68" t="s">
        <v>38</v>
      </c>
      <c r="C17">
        <v>0.44700000000000001</v>
      </c>
      <c r="D17">
        <v>0.435</v>
      </c>
      <c r="F17">
        <f t="shared" si="0"/>
        <v>2.2050000000000001</v>
      </c>
    </row>
    <row r="18" spans="1:6" x14ac:dyDescent="0.25">
      <c r="A18" t="s">
        <v>190</v>
      </c>
      <c r="B18" s="68" t="s">
        <v>39</v>
      </c>
      <c r="C18">
        <v>0.13700000000000001</v>
      </c>
      <c r="D18">
        <v>0.13400000000000001</v>
      </c>
      <c r="F18">
        <f t="shared" si="0"/>
        <v>0.67749999999999999</v>
      </c>
    </row>
    <row r="19" spans="1:6" x14ac:dyDescent="0.25">
      <c r="A19" t="s">
        <v>191</v>
      </c>
      <c r="B19" s="68" t="s">
        <v>40</v>
      </c>
      <c r="C19">
        <v>7.0000000000000007E-2</v>
      </c>
      <c r="D19">
        <v>6.8000000000000005E-2</v>
      </c>
      <c r="F19">
        <f t="shared" si="0"/>
        <v>0.34500000000000003</v>
      </c>
    </row>
    <row r="20" spans="1:6" x14ac:dyDescent="0.25">
      <c r="A20" t="s">
        <v>192</v>
      </c>
      <c r="B20" s="68" t="s">
        <v>41</v>
      </c>
      <c r="C20">
        <v>0.05</v>
      </c>
      <c r="D20">
        <v>5.0999999999999997E-2</v>
      </c>
      <c r="F20">
        <f t="shared" si="0"/>
        <v>0.2525</v>
      </c>
    </row>
    <row r="21" spans="1:6" x14ac:dyDescent="0.25">
      <c r="A21" t="s">
        <v>193</v>
      </c>
      <c r="B21" s="68" t="s">
        <v>42</v>
      </c>
      <c r="C21">
        <v>8.3000000000000004E-2</v>
      </c>
      <c r="D21">
        <v>8.2000000000000003E-2</v>
      </c>
      <c r="F21">
        <f t="shared" si="0"/>
        <v>0.41250000000000003</v>
      </c>
    </row>
    <row r="22" spans="1:6" x14ac:dyDescent="0.25">
      <c r="A22" t="s">
        <v>194</v>
      </c>
      <c r="B22" s="68" t="s">
        <v>43</v>
      </c>
      <c r="C22">
        <v>0.34699999999999998</v>
      </c>
      <c r="D22">
        <v>0.33900000000000002</v>
      </c>
      <c r="F22">
        <f t="shared" si="0"/>
        <v>1.7149999999999999</v>
      </c>
    </row>
    <row r="23" spans="1:6" x14ac:dyDescent="0.25">
      <c r="A23" t="s">
        <v>195</v>
      </c>
      <c r="B23" s="68" t="s">
        <v>44</v>
      </c>
      <c r="C23">
        <v>5.1999999999999998E-2</v>
      </c>
      <c r="D23">
        <v>0.05</v>
      </c>
      <c r="F23">
        <f t="shared" si="0"/>
        <v>0.255</v>
      </c>
    </row>
    <row r="24" spans="1:6" x14ac:dyDescent="0.25">
      <c r="A24" t="s">
        <v>196</v>
      </c>
      <c r="B24" s="68" t="s">
        <v>45</v>
      </c>
      <c r="C24">
        <v>0.44500000000000001</v>
      </c>
      <c r="D24">
        <v>0.441</v>
      </c>
      <c r="F24">
        <f t="shared" si="0"/>
        <v>2.2149999999999999</v>
      </c>
    </row>
    <row r="25" spans="1:6" x14ac:dyDescent="0.25">
      <c r="A25" t="s">
        <v>197</v>
      </c>
      <c r="B25" s="68" t="s">
        <v>46</v>
      </c>
      <c r="C25">
        <v>0.47199999999999998</v>
      </c>
      <c r="D25">
        <v>0.46200000000000002</v>
      </c>
      <c r="F25">
        <f t="shared" si="0"/>
        <v>2.335</v>
      </c>
    </row>
    <row r="26" spans="1:6" x14ac:dyDescent="0.25">
      <c r="A26" t="s">
        <v>198</v>
      </c>
      <c r="B26" s="68" t="s">
        <v>47</v>
      </c>
      <c r="C26">
        <v>0.35499999999999998</v>
      </c>
      <c r="D26">
        <v>0.35199999999999998</v>
      </c>
      <c r="F26">
        <f t="shared" si="0"/>
        <v>1.7674999999999998</v>
      </c>
    </row>
    <row r="27" spans="1:6" x14ac:dyDescent="0.25">
      <c r="A27" t="s">
        <v>199</v>
      </c>
      <c r="B27" s="68" t="s">
        <v>48</v>
      </c>
      <c r="C27">
        <v>0.50600000000000001</v>
      </c>
      <c r="D27">
        <v>0.499</v>
      </c>
      <c r="F27">
        <f t="shared" si="0"/>
        <v>2.5124999999999997</v>
      </c>
    </row>
    <row r="28" spans="1:6" x14ac:dyDescent="0.25">
      <c r="A28" t="s">
        <v>200</v>
      </c>
      <c r="B28" s="68" t="s">
        <v>49</v>
      </c>
      <c r="C28">
        <v>5.6000000000000001E-2</v>
      </c>
      <c r="D28">
        <v>5.2999999999999999E-2</v>
      </c>
      <c r="F28">
        <f t="shared" si="0"/>
        <v>0.27250000000000002</v>
      </c>
    </row>
    <row r="29" spans="1:6" x14ac:dyDescent="0.25">
      <c r="A29" t="s">
        <v>201</v>
      </c>
      <c r="B29" s="68" t="s">
        <v>50</v>
      </c>
      <c r="C29">
        <v>0.39500000000000002</v>
      </c>
      <c r="D29">
        <v>0.39200000000000002</v>
      </c>
      <c r="F29">
        <f t="shared" si="0"/>
        <v>1.9675</v>
      </c>
    </row>
    <row r="30" spans="1:6" x14ac:dyDescent="0.25">
      <c r="A30" t="s">
        <v>202</v>
      </c>
      <c r="B30" s="68" t="s">
        <v>51</v>
      </c>
      <c r="C30">
        <v>5.6000000000000001E-2</v>
      </c>
      <c r="D30">
        <v>5.2999999999999999E-2</v>
      </c>
      <c r="F30">
        <f t="shared" si="0"/>
        <v>0.27250000000000002</v>
      </c>
    </row>
    <row r="31" spans="1:6" x14ac:dyDescent="0.25">
      <c r="A31" t="s">
        <v>203</v>
      </c>
      <c r="B31" s="68" t="s">
        <v>52</v>
      </c>
      <c r="C31">
        <v>0.47599999999999998</v>
      </c>
      <c r="D31">
        <v>0.45500000000000002</v>
      </c>
      <c r="F31">
        <f t="shared" si="0"/>
        <v>2.3275000000000001</v>
      </c>
    </row>
    <row r="32" spans="1:6" x14ac:dyDescent="0.25">
      <c r="A32" t="s">
        <v>204</v>
      </c>
      <c r="B32" s="68" t="s">
        <v>205</v>
      </c>
      <c r="C32">
        <v>3.2000000000000001E-2</v>
      </c>
      <c r="D32">
        <v>2.8000000000000001E-2</v>
      </c>
      <c r="F32">
        <f t="shared" si="0"/>
        <v>0.15</v>
      </c>
    </row>
    <row r="33" spans="1:6" x14ac:dyDescent="0.25">
      <c r="A33" t="s">
        <v>206</v>
      </c>
      <c r="B33" s="68" t="s">
        <v>54</v>
      </c>
      <c r="C33">
        <v>0.17399999999999999</v>
      </c>
      <c r="D33">
        <v>0.17</v>
      </c>
      <c r="F33">
        <f t="shared" si="0"/>
        <v>0.85999999999999988</v>
      </c>
    </row>
    <row r="34" spans="1:6" x14ac:dyDescent="0.25">
      <c r="A34" t="s">
        <v>207</v>
      </c>
      <c r="B34" s="68" t="s">
        <v>55</v>
      </c>
      <c r="C34">
        <v>0.4</v>
      </c>
      <c r="D34">
        <v>0.39600000000000002</v>
      </c>
      <c r="F34">
        <f t="shared" si="0"/>
        <v>1.9900000000000002</v>
      </c>
    </row>
    <row r="35" spans="1:6" x14ac:dyDescent="0.25">
      <c r="A35" t="s">
        <v>208</v>
      </c>
      <c r="B35" s="68" t="s">
        <v>56</v>
      </c>
      <c r="C35">
        <v>0.32200000000000001</v>
      </c>
      <c r="D35">
        <v>0.315</v>
      </c>
      <c r="F35">
        <f t="shared" si="0"/>
        <v>1.5925</v>
      </c>
    </row>
    <row r="36" spans="1:6" x14ac:dyDescent="0.25">
      <c r="A36" t="s">
        <v>209</v>
      </c>
      <c r="B36" s="68" t="s">
        <v>210</v>
      </c>
      <c r="C36">
        <v>5.0999999999999997E-2</v>
      </c>
      <c r="D36">
        <v>0.05</v>
      </c>
      <c r="F36">
        <f t="shared" si="0"/>
        <v>0.2525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workbookViewId="0">
      <selection activeCell="I11" sqref="I11:I14"/>
    </sheetView>
  </sheetViews>
  <sheetFormatPr defaultRowHeight="15" x14ac:dyDescent="0.25"/>
  <sheetData>
    <row r="1" spans="1:9" x14ac:dyDescent="0.25">
      <c r="A1" t="s">
        <v>253</v>
      </c>
    </row>
    <row r="2" spans="1:9" x14ac:dyDescent="0.25">
      <c r="A2" t="s">
        <v>255</v>
      </c>
    </row>
    <row r="5" spans="1:9" x14ac:dyDescent="0.25">
      <c r="A5" t="s">
        <v>176</v>
      </c>
    </row>
    <row r="6" spans="1:9" x14ac:dyDescent="0.25">
      <c r="A6" t="s">
        <v>256</v>
      </c>
    </row>
    <row r="8" spans="1:9" x14ac:dyDescent="0.25">
      <c r="B8" s="68" t="s">
        <v>179</v>
      </c>
      <c r="C8" t="s">
        <v>257</v>
      </c>
      <c r="F8" t="s">
        <v>258</v>
      </c>
      <c r="I8" t="s">
        <v>233</v>
      </c>
    </row>
    <row r="9" spans="1:9" x14ac:dyDescent="0.25">
      <c r="B9" s="61"/>
    </row>
    <row r="10" spans="1:9" x14ac:dyDescent="0.25">
      <c r="A10" t="s">
        <v>189</v>
      </c>
      <c r="B10" s="68" t="s">
        <v>38</v>
      </c>
      <c r="C10">
        <v>1.8160000000000001</v>
      </c>
      <c r="D10">
        <v>1.823</v>
      </c>
      <c r="F10">
        <v>1.7889999999999999</v>
      </c>
      <c r="G10">
        <v>1.786</v>
      </c>
      <c r="I10">
        <f>(C10+D10)/2</f>
        <v>1.8195000000000001</v>
      </c>
    </row>
    <row r="11" spans="1:9" x14ac:dyDescent="0.25">
      <c r="A11" t="s">
        <v>190</v>
      </c>
      <c r="B11" s="68" t="s">
        <v>39</v>
      </c>
      <c r="C11">
        <v>0.34499999999999997</v>
      </c>
      <c r="D11">
        <v>0.34599999999999997</v>
      </c>
      <c r="F11">
        <v>0.32100000000000001</v>
      </c>
      <c r="G11">
        <v>0.32300000000000001</v>
      </c>
      <c r="I11">
        <f>(C11+D11)/2</f>
        <v>0.34549999999999997</v>
      </c>
    </row>
    <row r="12" spans="1:9" x14ac:dyDescent="0.25">
      <c r="A12" t="s">
        <v>191</v>
      </c>
      <c r="B12" s="68" t="s">
        <v>40</v>
      </c>
      <c r="C12">
        <v>0.215</v>
      </c>
      <c r="D12">
        <v>0.20799999999999999</v>
      </c>
      <c r="F12">
        <v>0.183</v>
      </c>
      <c r="G12">
        <v>0.183</v>
      </c>
      <c r="I12">
        <f t="shared" ref="I12:I14" si="0">(C12+D12)/2</f>
        <v>0.21149999999999999</v>
      </c>
    </row>
    <row r="13" spans="1:9" x14ac:dyDescent="0.25">
      <c r="A13" t="s">
        <v>193</v>
      </c>
      <c r="B13" s="68" t="s">
        <v>42</v>
      </c>
      <c r="C13">
        <v>0.23</v>
      </c>
      <c r="D13">
        <v>0.23200000000000001</v>
      </c>
      <c r="F13">
        <v>0.20300000000000001</v>
      </c>
      <c r="G13">
        <v>0.20699999999999999</v>
      </c>
      <c r="I13">
        <f t="shared" si="0"/>
        <v>0.23100000000000001</v>
      </c>
    </row>
    <row r="14" spans="1:9" x14ac:dyDescent="0.25">
      <c r="A14" t="s">
        <v>206</v>
      </c>
      <c r="B14" s="68" t="s">
        <v>54</v>
      </c>
      <c r="C14">
        <v>0.48699999999999999</v>
      </c>
      <c r="D14">
        <v>0.48699999999999999</v>
      </c>
      <c r="F14">
        <v>0.46899999999999997</v>
      </c>
      <c r="G14">
        <v>0.45400000000000001</v>
      </c>
      <c r="I14">
        <f t="shared" si="0"/>
        <v>0.48699999999999999</v>
      </c>
    </row>
    <row r="15" spans="1:9" x14ac:dyDescent="0.25">
      <c r="B15" s="68"/>
    </row>
    <row r="16" spans="1:9" x14ac:dyDescent="0.25">
      <c r="B16" s="68"/>
    </row>
    <row r="22" spans="2:2" x14ac:dyDescent="0.25">
      <c r="B22" s="68"/>
    </row>
    <row r="23" spans="2:2" x14ac:dyDescent="0.25">
      <c r="B23" s="68"/>
    </row>
    <row r="24" spans="2:2" x14ac:dyDescent="0.25">
      <c r="B24" s="68"/>
    </row>
    <row r="25" spans="2:2" x14ac:dyDescent="0.25">
      <c r="B25" s="68"/>
    </row>
    <row r="26" spans="2:2" x14ac:dyDescent="0.25">
      <c r="B26" s="68"/>
    </row>
    <row r="27" spans="2:2" x14ac:dyDescent="0.25">
      <c r="B27" s="68"/>
    </row>
    <row r="28" spans="2:2" x14ac:dyDescent="0.25">
      <c r="B28" s="68"/>
    </row>
    <row r="29" spans="2:2" x14ac:dyDescent="0.25">
      <c r="B29" s="68"/>
    </row>
    <row r="30" spans="2:2" x14ac:dyDescent="0.25">
      <c r="B30" s="68"/>
    </row>
    <row r="31" spans="2:2" x14ac:dyDescent="0.25">
      <c r="B31" s="68"/>
    </row>
    <row r="32" spans="2:2" x14ac:dyDescent="0.25">
      <c r="B32" s="68"/>
    </row>
    <row r="34" spans="2:2" x14ac:dyDescent="0.25">
      <c r="B34" s="68"/>
    </row>
    <row r="35" spans="2:2" x14ac:dyDescent="0.25">
      <c r="B35" s="68"/>
    </row>
    <row r="36" spans="2:2" x14ac:dyDescent="0.25">
      <c r="B36" s="68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workbookViewId="0">
      <selection activeCell="F26" sqref="F26"/>
    </sheetView>
  </sheetViews>
  <sheetFormatPr defaultRowHeight="15" x14ac:dyDescent="0.25"/>
  <sheetData>
    <row r="1" spans="1:6" x14ac:dyDescent="0.25">
      <c r="A1" t="s">
        <v>239</v>
      </c>
    </row>
    <row r="3" spans="1:6" x14ac:dyDescent="0.25">
      <c r="A3" t="s">
        <v>234</v>
      </c>
    </row>
    <row r="4" spans="1:6" x14ac:dyDescent="0.25">
      <c r="A4" t="s">
        <v>235</v>
      </c>
    </row>
    <row r="5" spans="1:6" x14ac:dyDescent="0.25">
      <c r="A5" t="s">
        <v>236</v>
      </c>
    </row>
    <row r="6" spans="1:6" x14ac:dyDescent="0.25">
      <c r="A6" t="s">
        <v>176</v>
      </c>
    </row>
    <row r="7" spans="1:6" x14ac:dyDescent="0.25">
      <c r="A7" t="s">
        <v>215</v>
      </c>
    </row>
    <row r="9" spans="1:6" x14ac:dyDescent="0.25">
      <c r="C9" t="s">
        <v>240</v>
      </c>
      <c r="F9" t="s">
        <v>233</v>
      </c>
    </row>
    <row r="10" spans="1:6" x14ac:dyDescent="0.25">
      <c r="A10" t="s">
        <v>180</v>
      </c>
      <c r="B10" s="61" t="s">
        <v>181</v>
      </c>
      <c r="C10">
        <v>0.41959999999999997</v>
      </c>
      <c r="D10">
        <v>0.42299999999999999</v>
      </c>
      <c r="F10">
        <f>(C10+D10)/2*2.5</f>
        <v>1.05325</v>
      </c>
    </row>
    <row r="11" spans="1:6" x14ac:dyDescent="0.25">
      <c r="A11" t="s">
        <v>182</v>
      </c>
      <c r="B11" s="68" t="s">
        <v>31</v>
      </c>
      <c r="C11">
        <v>0.41499999999999998</v>
      </c>
      <c r="D11">
        <v>0.40699999999999997</v>
      </c>
      <c r="F11">
        <f t="shared" ref="F11:F31" si="0">(C11+D11)/2*2.5</f>
        <v>1.0274999999999999</v>
      </c>
    </row>
    <row r="12" spans="1:6" x14ac:dyDescent="0.25">
      <c r="A12" t="s">
        <v>183</v>
      </c>
      <c r="B12" s="68" t="s">
        <v>32</v>
      </c>
      <c r="C12">
        <v>3.6999999999999998E-2</v>
      </c>
      <c r="D12">
        <v>4.1000000000000002E-2</v>
      </c>
      <c r="F12">
        <f t="shared" si="0"/>
        <v>9.7500000000000003E-2</v>
      </c>
    </row>
    <row r="13" spans="1:6" x14ac:dyDescent="0.25">
      <c r="A13" t="s">
        <v>184</v>
      </c>
      <c r="B13" s="68" t="s">
        <v>33</v>
      </c>
      <c r="C13">
        <v>0.41799999999999998</v>
      </c>
      <c r="D13">
        <v>0.41099999999999998</v>
      </c>
      <c r="F13">
        <f t="shared" si="0"/>
        <v>1.0362499999999999</v>
      </c>
    </row>
    <row r="14" spans="1:6" x14ac:dyDescent="0.25">
      <c r="A14" t="s">
        <v>185</v>
      </c>
      <c r="B14" s="68" t="s">
        <v>34</v>
      </c>
      <c r="C14">
        <v>0.317</v>
      </c>
      <c r="D14">
        <v>0.36499999999999999</v>
      </c>
      <c r="F14">
        <f t="shared" si="0"/>
        <v>0.85249999999999992</v>
      </c>
    </row>
    <row r="15" spans="1:6" x14ac:dyDescent="0.25">
      <c r="A15" t="s">
        <v>186</v>
      </c>
      <c r="B15" s="68" t="s">
        <v>35</v>
      </c>
      <c r="C15">
        <v>0.316</v>
      </c>
      <c r="D15">
        <v>0.315</v>
      </c>
      <c r="F15">
        <f t="shared" si="0"/>
        <v>0.78875000000000006</v>
      </c>
    </row>
    <row r="16" spans="1:6" x14ac:dyDescent="0.25">
      <c r="A16" t="s">
        <v>187</v>
      </c>
      <c r="B16" s="68" t="s">
        <v>36</v>
      </c>
    </row>
    <row r="17" spans="1:8" x14ac:dyDescent="0.25">
      <c r="A17" t="s">
        <v>188</v>
      </c>
      <c r="B17" s="68" t="s">
        <v>37</v>
      </c>
      <c r="C17">
        <v>0.40899999999999997</v>
      </c>
      <c r="D17">
        <v>0.41499999999999998</v>
      </c>
      <c r="F17">
        <f t="shared" si="0"/>
        <v>1.03</v>
      </c>
    </row>
    <row r="18" spans="1:8" x14ac:dyDescent="0.25">
      <c r="A18" t="s">
        <v>189</v>
      </c>
      <c r="B18" s="68" t="s">
        <v>38</v>
      </c>
      <c r="C18">
        <v>0.35199999999999998</v>
      </c>
      <c r="D18">
        <v>0.35</v>
      </c>
      <c r="F18">
        <f t="shared" si="0"/>
        <v>0.87749999999999995</v>
      </c>
    </row>
    <row r="19" spans="1:8" x14ac:dyDescent="0.25">
      <c r="A19" t="s">
        <v>190</v>
      </c>
      <c r="B19" s="68" t="s">
        <v>39</v>
      </c>
      <c r="C19">
        <v>8.4000000000000005E-2</v>
      </c>
      <c r="D19">
        <v>0.10199999999999999</v>
      </c>
      <c r="E19">
        <v>8.3000000000000004E-2</v>
      </c>
      <c r="F19">
        <f>(C19+D19+E19)/3*2.5</f>
        <v>0.22416666666666668</v>
      </c>
    </row>
    <row r="20" spans="1:8" x14ac:dyDescent="0.25">
      <c r="A20" t="s">
        <v>191</v>
      </c>
      <c r="B20" s="68" t="s">
        <v>40</v>
      </c>
      <c r="C20">
        <v>1.0999999999999999E-2</v>
      </c>
      <c r="D20">
        <v>0.09</v>
      </c>
      <c r="F20">
        <f t="shared" si="0"/>
        <v>0.12625</v>
      </c>
    </row>
    <row r="21" spans="1:8" x14ac:dyDescent="0.25">
      <c r="A21" t="s">
        <v>192</v>
      </c>
      <c r="B21" s="68" t="s">
        <v>41</v>
      </c>
      <c r="C21">
        <v>2.1000000000000001E-2</v>
      </c>
      <c r="D21">
        <v>2.1000000000000001E-2</v>
      </c>
      <c r="F21">
        <f t="shared" si="0"/>
        <v>5.2500000000000005E-2</v>
      </c>
    </row>
    <row r="22" spans="1:8" x14ac:dyDescent="0.25">
      <c r="A22" t="s">
        <v>193</v>
      </c>
      <c r="B22" s="68" t="s">
        <v>42</v>
      </c>
      <c r="C22">
        <v>2.5999999999999999E-2</v>
      </c>
      <c r="D22">
        <v>2.5000000000000001E-2</v>
      </c>
      <c r="F22">
        <f t="shared" si="0"/>
        <v>6.3750000000000001E-2</v>
      </c>
    </row>
    <row r="23" spans="1:8" x14ac:dyDescent="0.25">
      <c r="A23" t="s">
        <v>194</v>
      </c>
      <c r="B23" s="68" t="s">
        <v>43</v>
      </c>
      <c r="C23">
        <v>0.255</v>
      </c>
      <c r="D23">
        <v>0.251</v>
      </c>
      <c r="F23">
        <f t="shared" si="0"/>
        <v>0.63250000000000006</v>
      </c>
    </row>
    <row r="24" spans="1:8" x14ac:dyDescent="0.25">
      <c r="A24" t="s">
        <v>195</v>
      </c>
      <c r="B24" s="68" t="s">
        <v>44</v>
      </c>
      <c r="C24">
        <v>1.2E-2</v>
      </c>
      <c r="D24">
        <v>5.0000000000000001E-3</v>
      </c>
      <c r="F24">
        <f t="shared" si="0"/>
        <v>2.1250000000000002E-2</v>
      </c>
    </row>
    <row r="25" spans="1:8" x14ac:dyDescent="0.25">
      <c r="A25" t="s">
        <v>196</v>
      </c>
      <c r="B25" s="68" t="s">
        <v>45</v>
      </c>
      <c r="C25">
        <v>0.34699999999999998</v>
      </c>
      <c r="D25">
        <v>0.34599999999999997</v>
      </c>
      <c r="F25">
        <f t="shared" si="0"/>
        <v>0.86624999999999996</v>
      </c>
    </row>
    <row r="26" spans="1:8" x14ac:dyDescent="0.25">
      <c r="A26" t="s">
        <v>197</v>
      </c>
      <c r="B26" s="68" t="s">
        <v>46</v>
      </c>
      <c r="C26">
        <v>0.18099999999999999</v>
      </c>
      <c r="D26">
        <v>0.17899999999999999</v>
      </c>
      <c r="F26">
        <f>(C26+D26)/2*4</f>
        <v>0.72</v>
      </c>
      <c r="H26" t="s">
        <v>241</v>
      </c>
    </row>
    <row r="27" spans="1:8" x14ac:dyDescent="0.25">
      <c r="A27" t="s">
        <v>198</v>
      </c>
      <c r="B27" s="68" t="s">
        <v>47</v>
      </c>
      <c r="C27">
        <v>0.29099999999999998</v>
      </c>
      <c r="D27">
        <v>0.28399999999999997</v>
      </c>
      <c r="F27">
        <f t="shared" si="0"/>
        <v>0.71875</v>
      </c>
    </row>
    <row r="28" spans="1:8" x14ac:dyDescent="0.25">
      <c r="A28" t="s">
        <v>199</v>
      </c>
      <c r="B28" s="68" t="s">
        <v>48</v>
      </c>
      <c r="C28">
        <v>0.29499999999999998</v>
      </c>
      <c r="D28">
        <v>0.30299999999999999</v>
      </c>
      <c r="F28">
        <f t="shared" si="0"/>
        <v>0.74749999999999994</v>
      </c>
    </row>
    <row r="29" spans="1:8" x14ac:dyDescent="0.25">
      <c r="A29" t="s">
        <v>200</v>
      </c>
      <c r="B29" s="68" t="s">
        <v>49</v>
      </c>
      <c r="C29">
        <v>0.01</v>
      </c>
      <c r="D29">
        <v>1.0999999999999999E-2</v>
      </c>
      <c r="F29">
        <f t="shared" si="0"/>
        <v>2.6249999999999996E-2</v>
      </c>
    </row>
    <row r="30" spans="1:8" x14ac:dyDescent="0.25">
      <c r="A30" t="s">
        <v>201</v>
      </c>
      <c r="B30" s="68" t="s">
        <v>50</v>
      </c>
      <c r="C30">
        <v>0.29099999999999998</v>
      </c>
      <c r="D30">
        <v>0.28499999999999998</v>
      </c>
      <c r="F30">
        <f t="shared" si="0"/>
        <v>0.72</v>
      </c>
    </row>
    <row r="31" spans="1:8" x14ac:dyDescent="0.25">
      <c r="A31" t="s">
        <v>202</v>
      </c>
      <c r="B31" s="68" t="s">
        <v>51</v>
      </c>
      <c r="C31">
        <v>3.1E-2</v>
      </c>
      <c r="D31">
        <v>1.0999999999999999E-2</v>
      </c>
      <c r="F31">
        <f t="shared" si="0"/>
        <v>5.2499999999999991E-2</v>
      </c>
    </row>
    <row r="32" spans="1:8" x14ac:dyDescent="0.25">
      <c r="A32" t="s">
        <v>203</v>
      </c>
      <c r="B32" s="68" t="s">
        <v>52</v>
      </c>
    </row>
    <row r="33" spans="1:2" x14ac:dyDescent="0.25">
      <c r="A33" t="s">
        <v>204</v>
      </c>
      <c r="B33" s="68" t="s">
        <v>205</v>
      </c>
    </row>
    <row r="34" spans="1:2" x14ac:dyDescent="0.25">
      <c r="A34" t="s">
        <v>206</v>
      </c>
      <c r="B34" s="68" t="s">
        <v>54</v>
      </c>
    </row>
    <row r="35" spans="1:2" x14ac:dyDescent="0.25">
      <c r="A35" t="s">
        <v>207</v>
      </c>
      <c r="B35" s="68" t="s">
        <v>55</v>
      </c>
    </row>
    <row r="36" spans="1:2" x14ac:dyDescent="0.25">
      <c r="A36" t="s">
        <v>208</v>
      </c>
      <c r="B36" s="68" t="s">
        <v>56</v>
      </c>
    </row>
    <row r="37" spans="1:2" x14ac:dyDescent="0.25">
      <c r="A37" t="s">
        <v>209</v>
      </c>
      <c r="B37" s="68" t="s">
        <v>210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K46"/>
  <sheetViews>
    <sheetView tabSelected="1" workbookViewId="0">
      <selection activeCell="O13" sqref="O13"/>
    </sheetView>
  </sheetViews>
  <sheetFormatPr defaultRowHeight="15" x14ac:dyDescent="0.25"/>
  <cols>
    <col min="2" max="2" width="14.140625" bestFit="1" customWidth="1"/>
    <col min="3" max="3" width="14.28515625" bestFit="1" customWidth="1"/>
    <col min="4" max="5" width="17" bestFit="1" customWidth="1"/>
    <col min="6" max="6" width="16.7109375" customWidth="1"/>
    <col min="9" max="9" width="12" bestFit="1" customWidth="1"/>
  </cols>
  <sheetData>
    <row r="3" spans="2:11" x14ac:dyDescent="0.25">
      <c r="D3" t="s">
        <v>216</v>
      </c>
      <c r="E3" t="s">
        <v>222</v>
      </c>
      <c r="J3" t="s">
        <v>217</v>
      </c>
      <c r="K3" t="s">
        <v>218</v>
      </c>
    </row>
    <row r="4" spans="2:11" x14ac:dyDescent="0.25">
      <c r="C4" s="26" t="s">
        <v>179</v>
      </c>
      <c r="D4" t="s">
        <v>219</v>
      </c>
      <c r="E4" t="s">
        <v>220</v>
      </c>
      <c r="F4" t="s">
        <v>221</v>
      </c>
      <c r="G4" t="s">
        <v>238</v>
      </c>
      <c r="H4" t="s">
        <v>243</v>
      </c>
      <c r="I4" t="s">
        <v>237</v>
      </c>
      <c r="J4" t="s">
        <v>242</v>
      </c>
    </row>
    <row r="5" spans="2:11" x14ac:dyDescent="0.25">
      <c r="B5" t="s">
        <v>180</v>
      </c>
      <c r="C5" s="61" t="s">
        <v>181</v>
      </c>
      <c r="D5" s="67">
        <v>2.4824999999999999</v>
      </c>
      <c r="E5" s="67">
        <v>2.3899999999999997</v>
      </c>
      <c r="F5" s="67">
        <v>2.2450000000000001</v>
      </c>
      <c r="I5" s="67">
        <v>1.05325</v>
      </c>
      <c r="J5" s="67">
        <f>AVERAGE(D5:F5)</f>
        <v>2.3725000000000001</v>
      </c>
      <c r="K5" s="67">
        <f>STDEV(D5:F5)</f>
        <v>0.11971319893812868</v>
      </c>
    </row>
    <row r="6" spans="2:11" x14ac:dyDescent="0.25">
      <c r="B6" t="s">
        <v>182</v>
      </c>
      <c r="C6" s="26" t="s">
        <v>31</v>
      </c>
      <c r="D6" s="67">
        <v>2.2600000000000002</v>
      </c>
      <c r="E6" s="67">
        <v>2.2549999999999999</v>
      </c>
      <c r="F6" s="67">
        <v>1.9650000000000001</v>
      </c>
      <c r="I6" s="67">
        <v>1.0274999999999999</v>
      </c>
      <c r="J6" s="67">
        <f>AVERAGE(D6:F6)</f>
        <v>2.16</v>
      </c>
      <c r="K6" s="67">
        <f>STDEV(D6:F6)</f>
        <v>0.16889345754054536</v>
      </c>
    </row>
    <row r="7" spans="2:11" x14ac:dyDescent="0.25">
      <c r="B7" t="s">
        <v>183</v>
      </c>
      <c r="C7" s="26" t="s">
        <v>32</v>
      </c>
      <c r="D7" s="67">
        <v>9.2499999999999999E-2</v>
      </c>
      <c r="E7" s="69">
        <v>0.32750000000000001</v>
      </c>
      <c r="F7" s="67">
        <v>0.21249999999999997</v>
      </c>
      <c r="I7" s="67">
        <v>9.7500000000000003E-2</v>
      </c>
      <c r="J7" s="67">
        <f>AVERAGE(D7,F7,I7)</f>
        <v>0.13416666666666666</v>
      </c>
      <c r="K7" s="67">
        <f>STDEV(D7,F7,I7)</f>
        <v>6.7884706181387686E-2</v>
      </c>
    </row>
    <row r="8" spans="2:11" x14ac:dyDescent="0.25">
      <c r="B8" t="s">
        <v>184</v>
      </c>
      <c r="C8" s="26" t="s">
        <v>33</v>
      </c>
      <c r="D8" s="67">
        <v>2.4</v>
      </c>
      <c r="E8" s="67">
        <v>2.4299999999999997</v>
      </c>
      <c r="F8" s="67">
        <v>2.3200000000000003</v>
      </c>
      <c r="I8" s="67">
        <v>1.0362499999999999</v>
      </c>
      <c r="J8" s="67">
        <f t="shared" ref="J8:J13" si="0">AVERAGE(D8:F8)</f>
        <v>2.3833333333333333</v>
      </c>
      <c r="K8" s="67">
        <f t="shared" ref="K8:K13" si="1">STDEV(D8:F8)</f>
        <v>5.6862407030772985E-2</v>
      </c>
    </row>
    <row r="9" spans="2:11" x14ac:dyDescent="0.25">
      <c r="B9" t="s">
        <v>185</v>
      </c>
      <c r="C9" s="26" t="s">
        <v>34</v>
      </c>
      <c r="D9" s="67">
        <v>2.6100000000000003</v>
      </c>
      <c r="E9" s="67">
        <v>2.56</v>
      </c>
      <c r="F9" s="67">
        <v>2.3375000000000004</v>
      </c>
      <c r="I9" s="67">
        <v>0.85249999999999992</v>
      </c>
      <c r="J9" s="67">
        <f t="shared" si="0"/>
        <v>2.5024999999999999</v>
      </c>
      <c r="K9" s="67">
        <f t="shared" si="1"/>
        <v>0.14506464076404002</v>
      </c>
    </row>
    <row r="10" spans="2:11" x14ac:dyDescent="0.25">
      <c r="B10" t="s">
        <v>186</v>
      </c>
      <c r="C10" s="26" t="s">
        <v>35</v>
      </c>
      <c r="D10" s="67">
        <v>2.3649999999999998</v>
      </c>
      <c r="E10" s="67">
        <v>2.395</v>
      </c>
      <c r="F10" s="67">
        <v>2.5449999999999999</v>
      </c>
      <c r="I10" s="67">
        <v>0.78875000000000006</v>
      </c>
      <c r="J10" s="67">
        <f t="shared" si="0"/>
        <v>2.4350000000000001</v>
      </c>
      <c r="K10" s="67">
        <f t="shared" si="1"/>
        <v>9.6436507609929584E-2</v>
      </c>
    </row>
    <row r="11" spans="2:11" x14ac:dyDescent="0.25">
      <c r="B11" t="s">
        <v>187</v>
      </c>
      <c r="C11" s="26" t="s">
        <v>36</v>
      </c>
      <c r="D11" s="67">
        <v>2.415</v>
      </c>
      <c r="E11" s="67">
        <v>2.3574999999999999</v>
      </c>
      <c r="F11" s="67">
        <v>2.0150000000000001</v>
      </c>
      <c r="I11" s="67"/>
      <c r="J11" s="67">
        <f t="shared" si="0"/>
        <v>2.2624999999999997</v>
      </c>
      <c r="K11" s="67">
        <f t="shared" si="1"/>
        <v>0.21626083787870604</v>
      </c>
    </row>
    <row r="12" spans="2:11" x14ac:dyDescent="0.25">
      <c r="B12" t="s">
        <v>188</v>
      </c>
      <c r="C12" s="26" t="s">
        <v>37</v>
      </c>
      <c r="D12" s="67">
        <v>2.52</v>
      </c>
      <c r="E12" s="67">
        <v>2.3375000000000004</v>
      </c>
      <c r="F12" s="67">
        <v>2.1800000000000002</v>
      </c>
      <c r="I12" s="67">
        <v>1.03</v>
      </c>
      <c r="J12" s="67">
        <f t="shared" si="0"/>
        <v>2.3458333333333332</v>
      </c>
      <c r="K12" s="67">
        <f t="shared" si="1"/>
        <v>0.17015311731888225</v>
      </c>
    </row>
    <row r="13" spans="2:11" x14ac:dyDescent="0.25">
      <c r="B13" t="s">
        <v>189</v>
      </c>
      <c r="C13" s="26" t="s">
        <v>38</v>
      </c>
      <c r="D13" s="67">
        <v>2.4175</v>
      </c>
      <c r="E13" s="67">
        <v>2.4674999999999998</v>
      </c>
      <c r="F13" s="67">
        <v>2.2050000000000001</v>
      </c>
      <c r="I13" s="67">
        <v>0.87749999999999995</v>
      </c>
      <c r="J13" s="67">
        <f t="shared" si="0"/>
        <v>2.3633333333333333</v>
      </c>
      <c r="K13" s="67">
        <f t="shared" si="1"/>
        <v>0.13938107236398098</v>
      </c>
    </row>
    <row r="14" spans="2:11" x14ac:dyDescent="0.25">
      <c r="B14" t="s">
        <v>190</v>
      </c>
      <c r="C14" s="26" t="s">
        <v>39</v>
      </c>
      <c r="D14" s="67">
        <v>0.28000000000000003</v>
      </c>
      <c r="E14" s="69">
        <v>0.96500000000000008</v>
      </c>
      <c r="F14" s="67">
        <v>0.67749999999999999</v>
      </c>
      <c r="I14" s="67">
        <v>0.22416666666666668</v>
      </c>
      <c r="J14" s="67">
        <f>AVERAGE(D14,F14,G14,I14)</f>
        <v>0.3938888888888889</v>
      </c>
      <c r="K14" s="67">
        <f>STDEV(D14,F14,G14,I14)</f>
        <v>0.24719584753194587</v>
      </c>
    </row>
    <row r="15" spans="2:11" x14ac:dyDescent="0.25">
      <c r="B15" t="s">
        <v>191</v>
      </c>
      <c r="C15" s="26" t="s">
        <v>40</v>
      </c>
      <c r="D15" s="67">
        <v>0.23749999999999999</v>
      </c>
      <c r="E15" s="69">
        <v>1.1824999999999999</v>
      </c>
      <c r="F15" s="67">
        <v>0.34500000000000003</v>
      </c>
      <c r="I15" s="67">
        <v>0.12625</v>
      </c>
      <c r="J15" s="67">
        <f>AVERAGE(D15,F15,G15,I15)</f>
        <v>0.23624999999999999</v>
      </c>
      <c r="K15" s="67">
        <f>STDEV(D15,F15,G15,I15)</f>
        <v>0.10938035701166829</v>
      </c>
    </row>
    <row r="16" spans="2:11" x14ac:dyDescent="0.25">
      <c r="B16" t="s">
        <v>192</v>
      </c>
      <c r="C16" s="26" t="s">
        <v>41</v>
      </c>
      <c r="D16" s="67">
        <v>0.11249999999999999</v>
      </c>
      <c r="E16" s="69">
        <v>0.49750000000000005</v>
      </c>
      <c r="F16" s="67">
        <v>0.2525</v>
      </c>
      <c r="I16" s="67">
        <v>5.2500000000000005E-2</v>
      </c>
      <c r="J16" s="67">
        <f>AVERAGE(D16,F16,I16)</f>
        <v>0.13916666666666666</v>
      </c>
      <c r="K16" s="67">
        <f>STDEV(D16,F16,G16,I16)</f>
        <v>0.10263202878893768</v>
      </c>
    </row>
    <row r="17" spans="2:11" x14ac:dyDescent="0.25">
      <c r="B17" t="s">
        <v>193</v>
      </c>
      <c r="C17" s="26" t="s">
        <v>42</v>
      </c>
      <c r="D17" s="67">
        <v>0.1875</v>
      </c>
      <c r="E17" s="69">
        <v>1.0874999999999999</v>
      </c>
      <c r="F17" s="67">
        <v>0.41250000000000003</v>
      </c>
      <c r="I17" s="67">
        <v>6.3750000000000001E-2</v>
      </c>
      <c r="J17" s="67">
        <f>AVERAGE(D17,F17,I17)</f>
        <v>0.22125000000000003</v>
      </c>
      <c r="K17" s="67">
        <f>STDEV(D17,F17,G17,I17)</f>
        <v>0.17680762851189424</v>
      </c>
    </row>
    <row r="18" spans="2:11" x14ac:dyDescent="0.25">
      <c r="B18" t="s">
        <v>194</v>
      </c>
      <c r="C18" s="26" t="s">
        <v>43</v>
      </c>
      <c r="D18" s="67">
        <v>1.4824999999999999</v>
      </c>
      <c r="E18" s="67">
        <v>1.9450000000000001</v>
      </c>
      <c r="F18" s="67">
        <v>1.7149999999999999</v>
      </c>
      <c r="I18" s="67">
        <v>0.63250000000000006</v>
      </c>
      <c r="J18" s="67">
        <f>AVERAGE(D18:F18)</f>
        <v>1.7141666666666666</v>
      </c>
      <c r="K18" s="67">
        <f>STDEV(D18:F18)</f>
        <v>0.23125112612338178</v>
      </c>
    </row>
    <row r="19" spans="2:11" x14ac:dyDescent="0.25">
      <c r="B19" t="s">
        <v>195</v>
      </c>
      <c r="C19" s="26" t="s">
        <v>44</v>
      </c>
      <c r="D19" s="67">
        <v>0.28000000000000003</v>
      </c>
      <c r="E19" s="69">
        <v>0.84500000000000008</v>
      </c>
      <c r="F19" s="67">
        <v>0.255</v>
      </c>
      <c r="I19" s="67">
        <v>2.1250000000000002E-2</v>
      </c>
      <c r="J19" s="67">
        <f>AVERAGE(D19,F19,I19)</f>
        <v>0.18541666666666667</v>
      </c>
      <c r="K19" s="67">
        <f>STDEV(D19,F19,I19)</f>
        <v>0.14272095442973096</v>
      </c>
    </row>
    <row r="20" spans="2:11" x14ac:dyDescent="0.25">
      <c r="B20" t="s">
        <v>196</v>
      </c>
      <c r="C20" s="26" t="s">
        <v>45</v>
      </c>
      <c r="D20" s="67">
        <v>2.2925</v>
      </c>
      <c r="E20" s="67">
        <v>2.2650000000000001</v>
      </c>
      <c r="F20" s="67">
        <v>2.2149999999999999</v>
      </c>
      <c r="I20" s="67">
        <v>0.86624999999999996</v>
      </c>
      <c r="J20" s="67">
        <f>AVERAGE(D20:F20)</f>
        <v>2.2574999999999998</v>
      </c>
      <c r="K20" s="67">
        <f>STDEV(D20:F20)</f>
        <v>3.9290584113754357E-2</v>
      </c>
    </row>
    <row r="21" spans="2:11" x14ac:dyDescent="0.25">
      <c r="B21" t="s">
        <v>197</v>
      </c>
      <c r="C21" s="26" t="s">
        <v>46</v>
      </c>
      <c r="D21" s="67">
        <v>2.3975</v>
      </c>
      <c r="E21" s="67">
        <v>2.3625000000000003</v>
      </c>
      <c r="F21" s="67">
        <v>2.335</v>
      </c>
      <c r="I21" s="67">
        <v>0.72</v>
      </c>
      <c r="J21" s="67">
        <f>AVERAGE(D21:F21)</f>
        <v>2.3649999999999998</v>
      </c>
      <c r="K21" s="67">
        <f>STDEV(D21:F21)</f>
        <v>3.1324910215354156E-2</v>
      </c>
    </row>
    <row r="22" spans="2:11" x14ac:dyDescent="0.25">
      <c r="B22" t="s">
        <v>198</v>
      </c>
      <c r="C22" s="26" t="s">
        <v>47</v>
      </c>
      <c r="D22" s="67">
        <v>1.8274999999999999</v>
      </c>
      <c r="E22" s="67">
        <v>1.8674999999999999</v>
      </c>
      <c r="F22" s="67">
        <v>1.7674999999999998</v>
      </c>
      <c r="I22" s="67">
        <v>0.71875</v>
      </c>
      <c r="J22" s="67">
        <f>AVERAGE(D22:F22)</f>
        <v>1.8208333333333331</v>
      </c>
      <c r="K22" s="67">
        <f>STDEV(D22:F22)</f>
        <v>5.0332229568471713E-2</v>
      </c>
    </row>
    <row r="23" spans="2:11" x14ac:dyDescent="0.25">
      <c r="B23" t="s">
        <v>199</v>
      </c>
      <c r="C23" s="26" t="s">
        <v>48</v>
      </c>
      <c r="D23" s="67">
        <v>2.4699999999999998</v>
      </c>
      <c r="E23" s="67">
        <v>2.5075000000000003</v>
      </c>
      <c r="F23" s="67">
        <v>2.5124999999999997</v>
      </c>
      <c r="I23" s="67">
        <v>0.74749999999999994</v>
      </c>
      <c r="J23" s="67">
        <f>AVERAGE(D23:F23)</f>
        <v>2.4966666666666666</v>
      </c>
      <c r="K23" s="67">
        <f>STDEV(D23:F23)</f>
        <v>2.3228933107944043E-2</v>
      </c>
    </row>
    <row r="24" spans="2:11" x14ac:dyDescent="0.25">
      <c r="B24" t="s">
        <v>200</v>
      </c>
      <c r="C24" s="26" t="s">
        <v>49</v>
      </c>
      <c r="D24" s="67">
        <v>0.18000000000000002</v>
      </c>
      <c r="E24" s="69">
        <v>1.3450000000000002</v>
      </c>
      <c r="F24" s="67">
        <v>0.27250000000000002</v>
      </c>
      <c r="I24" s="67">
        <v>2.6249999999999996E-2</v>
      </c>
      <c r="J24" s="67">
        <f>AVERAGE(D24,F24,I24)</f>
        <v>0.15958333333333333</v>
      </c>
      <c r="K24" s="67">
        <f>STDEV(D24,F24,I24)</f>
        <v>0.12438808557628556</v>
      </c>
    </row>
    <row r="25" spans="2:11" x14ac:dyDescent="0.25">
      <c r="B25" t="s">
        <v>201</v>
      </c>
      <c r="C25" s="26" t="s">
        <v>50</v>
      </c>
      <c r="D25" s="67">
        <v>2.3200000000000003</v>
      </c>
      <c r="E25" s="67">
        <v>2.3499999999999996</v>
      </c>
      <c r="F25" s="67">
        <v>1.9675</v>
      </c>
      <c r="I25" s="67">
        <v>0.72</v>
      </c>
      <c r="J25" s="67">
        <f>AVERAGE(D25:F25)</f>
        <v>2.2124999999999999</v>
      </c>
      <c r="K25" s="67">
        <f>STDEV(D25:F25)</f>
        <v>0.21270578271405782</v>
      </c>
    </row>
    <row r="26" spans="2:11" x14ac:dyDescent="0.25">
      <c r="B26" t="s">
        <v>202</v>
      </c>
      <c r="C26" s="26" t="s">
        <v>51</v>
      </c>
      <c r="D26" s="67">
        <v>0.1225</v>
      </c>
      <c r="E26" s="69">
        <v>0.73249999999999993</v>
      </c>
      <c r="F26" s="67">
        <v>0.27250000000000002</v>
      </c>
      <c r="I26" s="67">
        <v>5.2499999999999991E-2</v>
      </c>
      <c r="J26" s="67">
        <f>AVERAGE(D26,F26,I26)</f>
        <v>0.14916666666666667</v>
      </c>
      <c r="K26" s="67">
        <f>STDEV(D26,F26,I26)</f>
        <v>0.11239810200058245</v>
      </c>
    </row>
    <row r="27" spans="2:11" x14ac:dyDescent="0.25">
      <c r="B27" t="s">
        <v>203</v>
      </c>
      <c r="C27" s="26" t="s">
        <v>52</v>
      </c>
      <c r="D27" s="67">
        <v>2.4074999999999998</v>
      </c>
      <c r="E27" s="67">
        <v>2.4824999999999999</v>
      </c>
      <c r="F27" s="67">
        <v>2.3275000000000001</v>
      </c>
      <c r="J27" s="67">
        <f>AVERAGE(D27:F27)</f>
        <v>2.4058333333333333</v>
      </c>
      <c r="K27" s="67">
        <f>STDEV(D27:F27)</f>
        <v>7.7513439694889802E-2</v>
      </c>
    </row>
    <row r="28" spans="2:11" x14ac:dyDescent="0.25">
      <c r="B28" t="s">
        <v>204</v>
      </c>
      <c r="C28" s="26" t="s">
        <v>205</v>
      </c>
      <c r="D28" s="67">
        <v>0.14500000000000002</v>
      </c>
      <c r="E28" s="69">
        <v>0.32750000000000001</v>
      </c>
      <c r="F28" s="67">
        <v>0.15</v>
      </c>
      <c r="J28" s="67">
        <f>AVERAGE(D28:F28)</f>
        <v>0.20750000000000002</v>
      </c>
      <c r="K28" s="67">
        <f>STDEV(D28:F28)</f>
        <v>0.10395311443145891</v>
      </c>
    </row>
    <row r="29" spans="2:11" x14ac:dyDescent="0.25">
      <c r="B29" t="s">
        <v>206</v>
      </c>
      <c r="C29" s="26" t="s">
        <v>54</v>
      </c>
      <c r="D29" s="67">
        <v>0.45999999999999996</v>
      </c>
      <c r="E29" s="69">
        <v>0.97250000000000003</v>
      </c>
      <c r="F29" s="67">
        <v>0.85999999999999988</v>
      </c>
      <c r="J29" s="67">
        <f>AVERAGE(D29,F29,G29)</f>
        <v>0.65999999999999992</v>
      </c>
      <c r="K29" s="67">
        <f>STDEV(D29,F29,G29)</f>
        <v>0.28284271247461912</v>
      </c>
    </row>
    <row r="30" spans="2:11" x14ac:dyDescent="0.25">
      <c r="B30" t="s">
        <v>207</v>
      </c>
      <c r="C30" s="26" t="s">
        <v>55</v>
      </c>
      <c r="D30" s="67">
        <v>2.3425000000000002</v>
      </c>
      <c r="E30" s="67">
        <v>2.3475000000000001</v>
      </c>
      <c r="F30" s="67">
        <v>1.9900000000000002</v>
      </c>
      <c r="J30" s="67">
        <f>AVERAGE(D30:F30)</f>
        <v>2.226666666666667</v>
      </c>
      <c r="K30" s="67">
        <f>STDEV(D30:F30)</f>
        <v>0.20497459192137285</v>
      </c>
    </row>
    <row r="31" spans="2:11" x14ac:dyDescent="0.25">
      <c r="B31" t="s">
        <v>208</v>
      </c>
      <c r="C31" s="26" t="s">
        <v>56</v>
      </c>
      <c r="D31" s="67">
        <v>1.23</v>
      </c>
      <c r="E31" s="67">
        <v>1.4424999999999999</v>
      </c>
      <c r="F31" s="67">
        <v>1.5925</v>
      </c>
      <c r="J31" s="67">
        <f>AVERAGE(D31:F31)</f>
        <v>1.4216666666666666</v>
      </c>
      <c r="K31" s="67">
        <f>STDEV(D31:F31)</f>
        <v>0.1821457749532879</v>
      </c>
    </row>
    <row r="32" spans="2:11" x14ac:dyDescent="0.25">
      <c r="B32" t="s">
        <v>209</v>
      </c>
      <c r="C32" s="26" t="s">
        <v>210</v>
      </c>
      <c r="D32" s="67">
        <v>0</v>
      </c>
      <c r="E32" s="67">
        <v>0.1575</v>
      </c>
      <c r="F32" s="67">
        <v>0.2525</v>
      </c>
      <c r="J32" s="67">
        <f>AVERAGE(D32:F32)</f>
        <v>0.13666666666666669</v>
      </c>
      <c r="K32" s="67">
        <f>STDEV(D32:F32)</f>
        <v>0.12753267555153591</v>
      </c>
    </row>
    <row r="33" spans="4:10" x14ac:dyDescent="0.25">
      <c r="D33" t="s">
        <v>244</v>
      </c>
      <c r="E33" t="s">
        <v>245</v>
      </c>
      <c r="F33" t="s">
        <v>246</v>
      </c>
      <c r="G33" t="s">
        <v>246</v>
      </c>
      <c r="H33" t="s">
        <v>246</v>
      </c>
    </row>
    <row r="34" spans="4:10" x14ac:dyDescent="0.25">
      <c r="E34" s="17" t="s">
        <v>271</v>
      </c>
    </row>
    <row r="39" spans="4:10" x14ac:dyDescent="0.25">
      <c r="J39" t="s">
        <v>263</v>
      </c>
    </row>
    <row r="40" spans="4:10" x14ac:dyDescent="0.25">
      <c r="J40" t="s">
        <v>264</v>
      </c>
    </row>
    <row r="41" spans="4:10" x14ac:dyDescent="0.25">
      <c r="J41" t="s">
        <v>265</v>
      </c>
    </row>
    <row r="42" spans="4:10" x14ac:dyDescent="0.25">
      <c r="J42" t="s">
        <v>266</v>
      </c>
    </row>
    <row r="43" spans="4:10" x14ac:dyDescent="0.25">
      <c r="J43" t="s">
        <v>267</v>
      </c>
    </row>
    <row r="44" spans="4:10" x14ac:dyDescent="0.25">
      <c r="J44" t="s">
        <v>268</v>
      </c>
    </row>
    <row r="45" spans="4:10" x14ac:dyDescent="0.25">
      <c r="J45" t="s">
        <v>269</v>
      </c>
    </row>
    <row r="46" spans="4:10" x14ac:dyDescent="0.25">
      <c r="J46" t="s">
        <v>270</v>
      </c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1"/>
  <sheetViews>
    <sheetView workbookViewId="0">
      <selection sqref="A1:H31"/>
    </sheetView>
  </sheetViews>
  <sheetFormatPr defaultRowHeight="15" x14ac:dyDescent="0.25"/>
  <cols>
    <col min="1" max="1" width="14.140625" bestFit="1" customWidth="1"/>
    <col min="2" max="2" width="14.28515625" bestFit="1" customWidth="1"/>
  </cols>
  <sheetData>
    <row r="1" spans="1:26" x14ac:dyDescent="0.25">
      <c r="A1" s="17" t="s">
        <v>247</v>
      </c>
      <c r="J1" t="s">
        <v>249</v>
      </c>
      <c r="U1" t="s">
        <v>248</v>
      </c>
    </row>
    <row r="2" spans="1:26" x14ac:dyDescent="0.25">
      <c r="A2" t="s">
        <v>251</v>
      </c>
      <c r="J2" t="s">
        <v>250</v>
      </c>
      <c r="U2" t="s">
        <v>252</v>
      </c>
    </row>
    <row r="3" spans="1:26" x14ac:dyDescent="0.25">
      <c r="B3" s="68" t="s">
        <v>179</v>
      </c>
      <c r="C3" s="68">
        <v>0</v>
      </c>
      <c r="D3">
        <v>24</v>
      </c>
      <c r="E3">
        <v>24.01</v>
      </c>
      <c r="F3">
        <v>48</v>
      </c>
      <c r="G3">
        <v>48.01</v>
      </c>
      <c r="H3">
        <v>72</v>
      </c>
      <c r="I3" s="70"/>
      <c r="L3">
        <v>0</v>
      </c>
      <c r="M3">
        <v>24</v>
      </c>
      <c r="N3">
        <v>24.01</v>
      </c>
      <c r="O3">
        <v>48</v>
      </c>
      <c r="P3">
        <v>48.01</v>
      </c>
      <c r="Q3">
        <v>72</v>
      </c>
      <c r="R3">
        <v>72.010000000000005</v>
      </c>
      <c r="S3">
        <v>96</v>
      </c>
      <c r="T3" s="70"/>
      <c r="W3">
        <v>0</v>
      </c>
      <c r="X3">
        <v>24</v>
      </c>
    </row>
    <row r="4" spans="1:26" x14ac:dyDescent="0.25">
      <c r="A4" t="s">
        <v>180</v>
      </c>
      <c r="B4" s="61" t="s">
        <v>181</v>
      </c>
      <c r="C4" s="61">
        <v>0.04</v>
      </c>
      <c r="D4" s="67">
        <v>2.4824999999999999</v>
      </c>
      <c r="E4">
        <f>D4/50</f>
        <v>4.965E-2</v>
      </c>
      <c r="F4" s="67">
        <v>2.3899999999999997</v>
      </c>
      <c r="G4">
        <f>F4/60</f>
        <v>3.9833333333333325E-2</v>
      </c>
      <c r="H4" s="67">
        <v>2.2450000000000001</v>
      </c>
      <c r="I4" s="70"/>
      <c r="J4" t="s">
        <v>180</v>
      </c>
      <c r="K4" s="61" t="s">
        <v>181</v>
      </c>
      <c r="T4" s="70"/>
      <c r="U4" t="s">
        <v>180</v>
      </c>
      <c r="V4" s="61" t="s">
        <v>181</v>
      </c>
      <c r="Z4" s="67"/>
    </row>
    <row r="5" spans="1:26" x14ac:dyDescent="0.25">
      <c r="A5" t="s">
        <v>182</v>
      </c>
      <c r="B5" s="68" t="s">
        <v>31</v>
      </c>
      <c r="C5" s="68">
        <v>0.04</v>
      </c>
      <c r="D5" s="67">
        <v>2.2600000000000002</v>
      </c>
      <c r="E5">
        <f t="shared" ref="E5:E29" si="0">D5/50</f>
        <v>4.5200000000000004E-2</v>
      </c>
      <c r="F5" s="67">
        <v>2.2549999999999999</v>
      </c>
      <c r="G5">
        <f t="shared" ref="G5:G29" si="1">F5/60</f>
        <v>3.758333333333333E-2</v>
      </c>
      <c r="H5" s="67">
        <v>1.9650000000000001</v>
      </c>
      <c r="I5" s="70"/>
      <c r="J5" t="s">
        <v>182</v>
      </c>
      <c r="K5" s="68" t="s">
        <v>31</v>
      </c>
      <c r="T5" s="70"/>
      <c r="U5" t="s">
        <v>182</v>
      </c>
      <c r="V5" s="68" t="s">
        <v>31</v>
      </c>
      <c r="Z5" s="67"/>
    </row>
    <row r="6" spans="1:26" x14ac:dyDescent="0.25">
      <c r="A6" t="s">
        <v>183</v>
      </c>
      <c r="B6" s="68" t="s">
        <v>32</v>
      </c>
      <c r="C6" s="61">
        <v>0.04</v>
      </c>
      <c r="D6" s="67">
        <v>9.2499999999999999E-2</v>
      </c>
      <c r="I6" s="70"/>
      <c r="J6" t="s">
        <v>183</v>
      </c>
      <c r="K6" s="68" t="s">
        <v>32</v>
      </c>
      <c r="L6">
        <v>4.965E-2</v>
      </c>
      <c r="M6" s="69">
        <v>0.32750000000000001</v>
      </c>
      <c r="N6">
        <f>M6/7.5</f>
        <v>4.3666666666666666E-2</v>
      </c>
      <c r="O6" s="67">
        <v>0.21249999999999997</v>
      </c>
      <c r="T6" s="70"/>
      <c r="U6" t="s">
        <v>183</v>
      </c>
      <c r="V6" s="68" t="s">
        <v>32</v>
      </c>
      <c r="W6">
        <v>4.3666666666666666E-2</v>
      </c>
      <c r="X6" s="67">
        <v>9.7500000000000003E-2</v>
      </c>
    </row>
    <row r="7" spans="1:26" x14ac:dyDescent="0.25">
      <c r="A7" t="s">
        <v>184</v>
      </c>
      <c r="B7" s="68" t="s">
        <v>33</v>
      </c>
      <c r="C7" s="68">
        <v>0.04</v>
      </c>
      <c r="D7" s="67">
        <v>2.4</v>
      </c>
      <c r="E7">
        <f t="shared" si="0"/>
        <v>4.8000000000000001E-2</v>
      </c>
      <c r="F7" s="67">
        <v>2.4299999999999997</v>
      </c>
      <c r="G7">
        <f t="shared" si="1"/>
        <v>4.0499999999999994E-2</v>
      </c>
      <c r="H7" s="67">
        <v>2.3200000000000003</v>
      </c>
      <c r="I7" s="70"/>
      <c r="J7" t="s">
        <v>184</v>
      </c>
      <c r="K7" s="68" t="s">
        <v>33</v>
      </c>
      <c r="T7" s="70"/>
      <c r="U7" t="s">
        <v>184</v>
      </c>
      <c r="V7" s="68" t="s">
        <v>33</v>
      </c>
      <c r="X7" s="67"/>
    </row>
    <row r="8" spans="1:26" x14ac:dyDescent="0.25">
      <c r="A8" t="s">
        <v>185</v>
      </c>
      <c r="B8" s="68" t="s">
        <v>34</v>
      </c>
      <c r="C8" s="61">
        <v>0.04</v>
      </c>
      <c r="D8" s="67">
        <v>2.6100000000000003</v>
      </c>
      <c r="E8">
        <f t="shared" si="0"/>
        <v>5.2200000000000003E-2</v>
      </c>
      <c r="F8" s="67">
        <v>2.56</v>
      </c>
      <c r="G8">
        <f t="shared" si="1"/>
        <v>4.2666666666666665E-2</v>
      </c>
      <c r="H8" s="67">
        <v>2.3375000000000004</v>
      </c>
      <c r="I8" s="70"/>
      <c r="J8" t="s">
        <v>185</v>
      </c>
      <c r="K8" s="68" t="s">
        <v>34</v>
      </c>
      <c r="T8" s="70"/>
      <c r="U8" t="s">
        <v>185</v>
      </c>
      <c r="V8" s="68" t="s">
        <v>34</v>
      </c>
      <c r="X8" s="67"/>
    </row>
    <row r="9" spans="1:26" x14ac:dyDescent="0.25">
      <c r="A9" t="s">
        <v>186</v>
      </c>
      <c r="B9" s="68" t="s">
        <v>35</v>
      </c>
      <c r="C9" s="68">
        <v>0.04</v>
      </c>
      <c r="D9" s="67">
        <v>2.3649999999999998</v>
      </c>
      <c r="E9">
        <f t="shared" si="0"/>
        <v>4.7299999999999995E-2</v>
      </c>
      <c r="F9" s="67">
        <v>2.395</v>
      </c>
      <c r="G9">
        <f t="shared" si="1"/>
        <v>3.991666666666667E-2</v>
      </c>
      <c r="H9" s="67">
        <v>2.5449999999999999</v>
      </c>
      <c r="I9" s="70"/>
      <c r="J9" t="s">
        <v>186</v>
      </c>
      <c r="K9" s="68" t="s">
        <v>35</v>
      </c>
      <c r="T9" s="70"/>
      <c r="U9" t="s">
        <v>186</v>
      </c>
      <c r="V9" s="68" t="s">
        <v>35</v>
      </c>
      <c r="X9" s="67"/>
    </row>
    <row r="10" spans="1:26" x14ac:dyDescent="0.25">
      <c r="A10" t="s">
        <v>187</v>
      </c>
      <c r="B10" s="68" t="s">
        <v>36</v>
      </c>
      <c r="C10" s="61">
        <v>0.04</v>
      </c>
      <c r="D10" s="67">
        <v>2.415</v>
      </c>
      <c r="E10">
        <f t="shared" si="0"/>
        <v>4.8300000000000003E-2</v>
      </c>
      <c r="F10" s="67">
        <v>2.3574999999999999</v>
      </c>
      <c r="G10">
        <f t="shared" si="1"/>
        <v>3.9291666666666662E-2</v>
      </c>
      <c r="H10" s="67">
        <v>2.0150000000000001</v>
      </c>
      <c r="I10" s="70"/>
      <c r="J10" t="s">
        <v>187</v>
      </c>
      <c r="K10" s="68" t="s">
        <v>36</v>
      </c>
      <c r="T10" s="70"/>
      <c r="U10" t="s">
        <v>187</v>
      </c>
      <c r="V10" s="68" t="s">
        <v>36</v>
      </c>
      <c r="X10" s="67"/>
    </row>
    <row r="11" spans="1:26" x14ac:dyDescent="0.25">
      <c r="A11" t="s">
        <v>188</v>
      </c>
      <c r="B11" s="68" t="s">
        <v>37</v>
      </c>
      <c r="C11" s="68">
        <v>0.04</v>
      </c>
      <c r="D11" s="67">
        <v>2.52</v>
      </c>
      <c r="E11">
        <f t="shared" si="0"/>
        <v>5.04E-2</v>
      </c>
      <c r="F11" s="67">
        <v>2.3375000000000004</v>
      </c>
      <c r="G11">
        <f t="shared" si="1"/>
        <v>3.8958333333333338E-2</v>
      </c>
      <c r="H11" s="67">
        <v>2.1800000000000002</v>
      </c>
      <c r="I11" s="70"/>
      <c r="J11" t="s">
        <v>188</v>
      </c>
      <c r="K11" s="68" t="s">
        <v>37</v>
      </c>
      <c r="T11" s="70"/>
      <c r="U11" t="s">
        <v>188</v>
      </c>
      <c r="V11" s="68" t="s">
        <v>37</v>
      </c>
      <c r="X11" s="67"/>
    </row>
    <row r="12" spans="1:26" x14ac:dyDescent="0.25">
      <c r="A12" t="s">
        <v>189</v>
      </c>
      <c r="B12" s="68" t="s">
        <v>38</v>
      </c>
      <c r="C12" s="61">
        <v>0.04</v>
      </c>
      <c r="D12" s="67">
        <v>2.4175</v>
      </c>
      <c r="E12">
        <f t="shared" si="0"/>
        <v>4.8349999999999997E-2</v>
      </c>
      <c r="F12" s="67">
        <v>2.4674999999999998</v>
      </c>
      <c r="G12">
        <f t="shared" si="1"/>
        <v>4.1124999999999995E-2</v>
      </c>
      <c r="H12" s="67">
        <v>2.2050000000000001</v>
      </c>
      <c r="I12" s="70"/>
      <c r="J12" t="s">
        <v>189</v>
      </c>
      <c r="K12" s="68" t="s">
        <v>38</v>
      </c>
      <c r="T12" s="70"/>
      <c r="U12" t="s">
        <v>189</v>
      </c>
      <c r="V12" s="68" t="s">
        <v>38</v>
      </c>
      <c r="X12" s="67"/>
    </row>
    <row r="13" spans="1:26" x14ac:dyDescent="0.25">
      <c r="A13" t="s">
        <v>190</v>
      </c>
      <c r="B13" s="68" t="s">
        <v>39</v>
      </c>
      <c r="C13" s="68">
        <v>0.04</v>
      </c>
      <c r="D13" s="67">
        <v>0.28000000000000003</v>
      </c>
      <c r="I13" s="70"/>
      <c r="J13" t="s">
        <v>190</v>
      </c>
      <c r="K13" s="68" t="s">
        <v>39</v>
      </c>
      <c r="L13">
        <v>4.965E-2</v>
      </c>
      <c r="M13" s="69">
        <v>0.96500000000000008</v>
      </c>
      <c r="N13">
        <f>M13/30</f>
        <v>3.216666666666667E-2</v>
      </c>
      <c r="O13" s="67">
        <v>0.67749999999999999</v>
      </c>
      <c r="P13">
        <f>O13/20</f>
        <v>3.3875000000000002E-2</v>
      </c>
      <c r="Q13">
        <v>0.34549999999999997</v>
      </c>
      <c r="R13">
        <f>Q13/6</f>
        <v>5.7583333333333327E-2</v>
      </c>
      <c r="S13">
        <v>1.625</v>
      </c>
      <c r="T13" s="70"/>
      <c r="U13" t="s">
        <v>190</v>
      </c>
      <c r="V13" s="68" t="s">
        <v>39</v>
      </c>
      <c r="W13">
        <v>3.216666666666667E-2</v>
      </c>
      <c r="X13" s="67">
        <v>0.22416666666666668</v>
      </c>
    </row>
    <row r="14" spans="1:26" x14ac:dyDescent="0.25">
      <c r="A14" t="s">
        <v>191</v>
      </c>
      <c r="B14" s="68" t="s">
        <v>40</v>
      </c>
      <c r="C14" s="61">
        <v>0.04</v>
      </c>
      <c r="D14" s="67">
        <v>0.23749999999999999</v>
      </c>
      <c r="I14" s="70"/>
      <c r="J14" t="s">
        <v>191</v>
      </c>
      <c r="K14" s="68" t="s">
        <v>40</v>
      </c>
      <c r="L14">
        <v>4.965E-2</v>
      </c>
      <c r="M14" s="69">
        <v>1.1824999999999999</v>
      </c>
      <c r="N14">
        <f>M14/30</f>
        <v>3.9416666666666662E-2</v>
      </c>
      <c r="O14" s="67">
        <v>0.34500000000000003</v>
      </c>
      <c r="P14">
        <f>O14/12</f>
        <v>2.8750000000000001E-2</v>
      </c>
      <c r="Q14">
        <v>0.21149999999999999</v>
      </c>
      <c r="R14">
        <f t="shared" ref="R14:R16" si="2">Q14/6</f>
        <v>3.5249999999999997E-2</v>
      </c>
      <c r="S14">
        <v>0.21</v>
      </c>
      <c r="T14" s="70"/>
      <c r="U14" t="s">
        <v>191</v>
      </c>
      <c r="V14" s="68" t="s">
        <v>40</v>
      </c>
      <c r="W14">
        <v>3.9416666666666662E-2</v>
      </c>
      <c r="X14" s="67">
        <v>0.12625</v>
      </c>
    </row>
    <row r="15" spans="1:26" x14ac:dyDescent="0.25">
      <c r="A15" t="s">
        <v>192</v>
      </c>
      <c r="B15" s="68" t="s">
        <v>41</v>
      </c>
      <c r="C15" s="68">
        <v>0.04</v>
      </c>
      <c r="D15" s="67">
        <v>0.11249999999999999</v>
      </c>
      <c r="I15" s="70"/>
      <c r="J15" t="s">
        <v>192</v>
      </c>
      <c r="K15" s="68" t="s">
        <v>41</v>
      </c>
      <c r="L15">
        <v>4.965E-2</v>
      </c>
      <c r="M15" s="69">
        <v>0.49750000000000005</v>
      </c>
      <c r="N15">
        <f>M15/15</f>
        <v>3.3166666666666671E-2</v>
      </c>
      <c r="O15" s="67">
        <v>0.2525</v>
      </c>
      <c r="T15" s="70"/>
      <c r="U15" t="s">
        <v>192</v>
      </c>
      <c r="V15" s="68" t="s">
        <v>41</v>
      </c>
      <c r="W15">
        <v>3.3166666666666671E-2</v>
      </c>
      <c r="X15" s="67">
        <v>5.2500000000000005E-2</v>
      </c>
    </row>
    <row r="16" spans="1:26" x14ac:dyDescent="0.25">
      <c r="A16" t="s">
        <v>193</v>
      </c>
      <c r="B16" s="68" t="s">
        <v>42</v>
      </c>
      <c r="C16" s="61">
        <v>0.04</v>
      </c>
      <c r="D16" s="67">
        <v>0.1875</v>
      </c>
      <c r="I16" s="70"/>
      <c r="J16" t="s">
        <v>193</v>
      </c>
      <c r="K16" s="68" t="s">
        <v>42</v>
      </c>
      <c r="L16">
        <v>4.965E-2</v>
      </c>
      <c r="M16" s="69">
        <v>1.0874999999999999</v>
      </c>
      <c r="N16">
        <f>M16/30</f>
        <v>3.6249999999999998E-2</v>
      </c>
      <c r="O16" s="67">
        <v>0.41250000000000003</v>
      </c>
      <c r="P16">
        <f>O16/12</f>
        <v>3.4375000000000003E-2</v>
      </c>
      <c r="Q16">
        <v>0.23100000000000001</v>
      </c>
      <c r="R16">
        <f t="shared" si="2"/>
        <v>3.85E-2</v>
      </c>
      <c r="S16">
        <v>0.25600000000000001</v>
      </c>
      <c r="T16" s="70"/>
      <c r="U16" t="s">
        <v>193</v>
      </c>
      <c r="V16" s="68" t="s">
        <v>42</v>
      </c>
      <c r="W16">
        <v>3.6249999999999998E-2</v>
      </c>
      <c r="X16" s="67">
        <v>6.3750000000000001E-2</v>
      </c>
    </row>
    <row r="17" spans="1:24" x14ac:dyDescent="0.25">
      <c r="A17" t="s">
        <v>194</v>
      </c>
      <c r="B17" s="68" t="s">
        <v>43</v>
      </c>
      <c r="C17" s="68">
        <v>0.04</v>
      </c>
      <c r="D17" s="67">
        <v>1.4824999999999999</v>
      </c>
      <c r="E17">
        <f>D17/30</f>
        <v>4.9416666666666664E-2</v>
      </c>
      <c r="F17" s="67">
        <v>1.9450000000000001</v>
      </c>
      <c r="G17">
        <f t="shared" si="1"/>
        <v>3.241666666666667E-2</v>
      </c>
      <c r="H17" s="67">
        <v>1.7149999999999999</v>
      </c>
      <c r="I17" s="70"/>
      <c r="J17" t="s">
        <v>194</v>
      </c>
      <c r="K17" s="68" t="s">
        <v>43</v>
      </c>
      <c r="T17" s="70"/>
      <c r="U17" t="s">
        <v>194</v>
      </c>
      <c r="V17" s="68" t="s">
        <v>43</v>
      </c>
      <c r="X17" s="67"/>
    </row>
    <row r="18" spans="1:24" x14ac:dyDescent="0.25">
      <c r="A18" t="s">
        <v>195</v>
      </c>
      <c r="B18" s="68" t="s">
        <v>44</v>
      </c>
      <c r="C18" s="61">
        <v>0.04</v>
      </c>
      <c r="D18" s="67">
        <v>0.28000000000000003</v>
      </c>
      <c r="I18" s="70"/>
      <c r="J18" t="s">
        <v>195</v>
      </c>
      <c r="K18" s="68" t="s">
        <v>44</v>
      </c>
      <c r="L18">
        <v>4.965E-2</v>
      </c>
      <c r="M18" s="69">
        <v>0.84500000000000008</v>
      </c>
      <c r="N18">
        <f>M18/30</f>
        <v>2.816666666666667E-2</v>
      </c>
      <c r="O18" s="67">
        <v>0.255</v>
      </c>
      <c r="T18" s="70"/>
      <c r="U18" t="s">
        <v>195</v>
      </c>
      <c r="V18" s="68" t="s">
        <v>44</v>
      </c>
      <c r="W18">
        <v>2.816666666666667E-2</v>
      </c>
      <c r="X18" s="67">
        <v>2.1250000000000002E-2</v>
      </c>
    </row>
    <row r="19" spans="1:24" x14ac:dyDescent="0.25">
      <c r="A19" t="s">
        <v>196</v>
      </c>
      <c r="B19" s="68" t="s">
        <v>45</v>
      </c>
      <c r="C19" s="68">
        <v>0.04</v>
      </c>
      <c r="D19" s="67">
        <v>2.2925</v>
      </c>
      <c r="E19">
        <f t="shared" si="0"/>
        <v>4.5850000000000002E-2</v>
      </c>
      <c r="F19" s="67">
        <v>2.2650000000000001</v>
      </c>
      <c r="G19">
        <f t="shared" si="1"/>
        <v>3.7749999999999999E-2</v>
      </c>
      <c r="H19" s="67">
        <v>2.2149999999999999</v>
      </c>
      <c r="I19" s="70"/>
      <c r="J19" t="s">
        <v>196</v>
      </c>
      <c r="K19" s="68" t="s">
        <v>45</v>
      </c>
      <c r="T19" s="70"/>
      <c r="U19" t="s">
        <v>196</v>
      </c>
      <c r="V19" s="68" t="s">
        <v>45</v>
      </c>
      <c r="X19" s="67"/>
    </row>
    <row r="20" spans="1:24" x14ac:dyDescent="0.25">
      <c r="A20" t="s">
        <v>197</v>
      </c>
      <c r="B20" s="68" t="s">
        <v>46</v>
      </c>
      <c r="C20" s="61">
        <v>0.04</v>
      </c>
      <c r="D20" s="67">
        <v>2.3975</v>
      </c>
      <c r="E20">
        <f t="shared" si="0"/>
        <v>4.795E-2</v>
      </c>
      <c r="F20" s="67">
        <v>2.3625000000000003</v>
      </c>
      <c r="G20">
        <f t="shared" si="1"/>
        <v>3.9375000000000007E-2</v>
      </c>
      <c r="H20" s="67">
        <v>2.335</v>
      </c>
      <c r="I20" s="70"/>
      <c r="J20" t="s">
        <v>197</v>
      </c>
      <c r="K20" s="68" t="s">
        <v>46</v>
      </c>
      <c r="T20" s="70"/>
      <c r="U20" t="s">
        <v>197</v>
      </c>
      <c r="V20" s="68" t="s">
        <v>46</v>
      </c>
      <c r="X20" s="67"/>
    </row>
    <row r="21" spans="1:24" x14ac:dyDescent="0.25">
      <c r="A21" t="s">
        <v>198</v>
      </c>
      <c r="B21" s="68" t="s">
        <v>47</v>
      </c>
      <c r="C21" s="68">
        <v>0.04</v>
      </c>
      <c r="D21" s="67">
        <v>1.8274999999999999</v>
      </c>
      <c r="E21">
        <f>D21/30</f>
        <v>6.0916666666666661E-2</v>
      </c>
      <c r="F21" s="67">
        <v>1.8674999999999999</v>
      </c>
      <c r="G21">
        <f t="shared" si="1"/>
        <v>3.1125E-2</v>
      </c>
      <c r="H21" s="67">
        <v>1.7674999999999998</v>
      </c>
      <c r="I21" s="70"/>
      <c r="J21" t="s">
        <v>198</v>
      </c>
      <c r="K21" s="68" t="s">
        <v>47</v>
      </c>
      <c r="T21" s="70"/>
      <c r="U21" t="s">
        <v>198</v>
      </c>
      <c r="V21" s="68" t="s">
        <v>47</v>
      </c>
      <c r="X21" s="67"/>
    </row>
    <row r="22" spans="1:24" x14ac:dyDescent="0.25">
      <c r="A22" t="s">
        <v>199</v>
      </c>
      <c r="B22" s="68" t="s">
        <v>48</v>
      </c>
      <c r="C22" s="61">
        <v>0.04</v>
      </c>
      <c r="D22" s="67">
        <v>2.4699999999999998</v>
      </c>
      <c r="E22">
        <f t="shared" si="0"/>
        <v>4.9399999999999993E-2</v>
      </c>
      <c r="F22" s="67">
        <v>2.5075000000000003</v>
      </c>
      <c r="G22">
        <f t="shared" si="1"/>
        <v>4.1791666666666671E-2</v>
      </c>
      <c r="H22" s="67">
        <v>2.5124999999999997</v>
      </c>
      <c r="I22" s="70"/>
      <c r="J22" t="s">
        <v>199</v>
      </c>
      <c r="K22" s="68" t="s">
        <v>48</v>
      </c>
      <c r="T22" s="70"/>
      <c r="U22" t="s">
        <v>199</v>
      </c>
      <c r="V22" s="68" t="s">
        <v>48</v>
      </c>
      <c r="X22" s="67"/>
    </row>
    <row r="23" spans="1:24" x14ac:dyDescent="0.25">
      <c r="A23" t="s">
        <v>200</v>
      </c>
      <c r="B23" s="68" t="s">
        <v>49</v>
      </c>
      <c r="C23" s="68">
        <v>0.04</v>
      </c>
      <c r="D23" s="67">
        <v>0.18000000000000002</v>
      </c>
      <c r="I23" s="70"/>
      <c r="J23" t="s">
        <v>200</v>
      </c>
      <c r="K23" s="68" t="s">
        <v>49</v>
      </c>
      <c r="L23">
        <v>4.965E-2</v>
      </c>
      <c r="M23" s="69">
        <v>1.3450000000000002</v>
      </c>
      <c r="N23">
        <f>M23/45</f>
        <v>2.9888888888888892E-2</v>
      </c>
      <c r="O23" s="67">
        <v>0.27250000000000002</v>
      </c>
      <c r="T23" s="70"/>
      <c r="U23" t="s">
        <v>200</v>
      </c>
      <c r="V23" s="68" t="s">
        <v>49</v>
      </c>
      <c r="W23">
        <v>2.9888888888888892E-2</v>
      </c>
      <c r="X23" s="67">
        <v>2.6249999999999996E-2</v>
      </c>
    </row>
    <row r="24" spans="1:24" x14ac:dyDescent="0.25">
      <c r="A24" t="s">
        <v>201</v>
      </c>
      <c r="B24" s="68" t="s">
        <v>50</v>
      </c>
      <c r="C24" s="61">
        <v>0.04</v>
      </c>
      <c r="D24" s="67">
        <v>2.3200000000000003</v>
      </c>
      <c r="E24">
        <f t="shared" si="0"/>
        <v>4.6400000000000004E-2</v>
      </c>
      <c r="F24" s="67">
        <v>2.3499999999999996</v>
      </c>
      <c r="G24">
        <f t="shared" si="1"/>
        <v>3.9166666666666662E-2</v>
      </c>
      <c r="H24" s="67">
        <v>1.9675</v>
      </c>
      <c r="I24" s="70"/>
      <c r="J24" t="s">
        <v>201</v>
      </c>
      <c r="K24" s="68" t="s">
        <v>50</v>
      </c>
      <c r="T24" s="70"/>
      <c r="U24" t="s">
        <v>201</v>
      </c>
      <c r="V24" s="68" t="s">
        <v>50</v>
      </c>
      <c r="X24" s="67"/>
    </row>
    <row r="25" spans="1:24" x14ac:dyDescent="0.25">
      <c r="A25" t="s">
        <v>202</v>
      </c>
      <c r="B25" s="68" t="s">
        <v>51</v>
      </c>
      <c r="C25" s="68">
        <v>0.04</v>
      </c>
      <c r="D25" s="67">
        <v>0.1225</v>
      </c>
      <c r="I25" s="70"/>
      <c r="J25" t="s">
        <v>202</v>
      </c>
      <c r="K25" s="68" t="s">
        <v>51</v>
      </c>
      <c r="L25">
        <v>4.965E-2</v>
      </c>
      <c r="M25" s="69">
        <v>0.73249999999999993</v>
      </c>
      <c r="N25">
        <f>M25/24</f>
        <v>3.052083333333333E-2</v>
      </c>
      <c r="O25" s="67">
        <v>0.27250000000000002</v>
      </c>
      <c r="T25" s="70"/>
      <c r="U25" t="s">
        <v>202</v>
      </c>
      <c r="V25" s="68" t="s">
        <v>51</v>
      </c>
      <c r="W25">
        <v>3.052083333333333E-2</v>
      </c>
      <c r="X25" s="67">
        <v>5.2499999999999991E-2</v>
      </c>
    </row>
    <row r="26" spans="1:24" x14ac:dyDescent="0.25">
      <c r="A26" t="s">
        <v>203</v>
      </c>
      <c r="B26" s="68" t="s">
        <v>52</v>
      </c>
      <c r="C26" s="61">
        <v>0.04</v>
      </c>
      <c r="D26" s="67">
        <v>2.4074999999999998</v>
      </c>
      <c r="E26">
        <f t="shared" si="0"/>
        <v>4.8149999999999998E-2</v>
      </c>
      <c r="F26" s="67">
        <v>2.4824999999999999</v>
      </c>
      <c r="G26">
        <f t="shared" si="1"/>
        <v>4.1375000000000002E-2</v>
      </c>
      <c r="H26" s="67">
        <v>2.3275000000000001</v>
      </c>
      <c r="I26" s="70"/>
      <c r="J26" t="s">
        <v>203</v>
      </c>
      <c r="K26" s="68" t="s">
        <v>52</v>
      </c>
      <c r="T26" s="70"/>
      <c r="U26" t="s">
        <v>203</v>
      </c>
      <c r="V26" s="68" t="s">
        <v>52</v>
      </c>
    </row>
    <row r="27" spans="1:24" x14ac:dyDescent="0.25">
      <c r="A27" t="s">
        <v>204</v>
      </c>
      <c r="B27" s="68" t="s">
        <v>205</v>
      </c>
      <c r="C27" s="68">
        <v>0.04</v>
      </c>
      <c r="D27" s="67">
        <v>0.14500000000000002</v>
      </c>
      <c r="I27" s="71"/>
      <c r="J27" t="s">
        <v>204</v>
      </c>
      <c r="K27" s="68" t="s">
        <v>205</v>
      </c>
      <c r="L27">
        <v>4.965E-2</v>
      </c>
      <c r="M27" s="69">
        <v>0.32750000000000001</v>
      </c>
      <c r="N27">
        <f>M27/7.5</f>
        <v>4.3666666666666666E-2</v>
      </c>
      <c r="O27" s="67">
        <v>0.15</v>
      </c>
      <c r="T27" s="70"/>
      <c r="U27" t="s">
        <v>204</v>
      </c>
      <c r="V27" s="68" t="s">
        <v>205</v>
      </c>
    </row>
    <row r="28" spans="1:24" x14ac:dyDescent="0.25">
      <c r="A28" t="s">
        <v>206</v>
      </c>
      <c r="B28" s="68" t="s">
        <v>54</v>
      </c>
      <c r="C28" s="61">
        <v>0.04</v>
      </c>
      <c r="D28" s="67">
        <v>0.45999999999999996</v>
      </c>
      <c r="I28" s="71"/>
      <c r="J28" t="s">
        <v>206</v>
      </c>
      <c r="K28" s="68" t="s">
        <v>54</v>
      </c>
      <c r="L28">
        <v>4.965E-2</v>
      </c>
      <c r="M28" s="69">
        <v>0.97250000000000003</v>
      </c>
      <c r="N28">
        <f>M28/45</f>
        <v>2.1611111111111112E-2</v>
      </c>
      <c r="O28" s="67">
        <v>0.85999999999999988</v>
      </c>
      <c r="P28">
        <f>O28/30</f>
        <v>2.8666666666666663E-2</v>
      </c>
      <c r="Q28">
        <v>0.48699999999999999</v>
      </c>
      <c r="R28">
        <f>Q28/10</f>
        <v>4.87E-2</v>
      </c>
      <c r="S28">
        <v>0.72199999999999998</v>
      </c>
      <c r="T28" s="70"/>
      <c r="U28" t="s">
        <v>206</v>
      </c>
      <c r="V28" s="68" t="s">
        <v>54</v>
      </c>
    </row>
    <row r="29" spans="1:24" x14ac:dyDescent="0.25">
      <c r="A29" t="s">
        <v>207</v>
      </c>
      <c r="B29" s="68" t="s">
        <v>55</v>
      </c>
      <c r="C29" s="68">
        <v>0.04</v>
      </c>
      <c r="D29" s="67">
        <v>2.3425000000000002</v>
      </c>
      <c r="E29">
        <f t="shared" si="0"/>
        <v>4.6850000000000003E-2</v>
      </c>
      <c r="F29" s="67">
        <v>2.3475000000000001</v>
      </c>
      <c r="G29">
        <f t="shared" si="1"/>
        <v>3.9125E-2</v>
      </c>
      <c r="H29" s="67">
        <v>1.9900000000000002</v>
      </c>
      <c r="I29" s="70"/>
      <c r="J29" t="s">
        <v>207</v>
      </c>
      <c r="K29" s="68" t="s">
        <v>55</v>
      </c>
      <c r="T29" s="70"/>
      <c r="U29" t="s">
        <v>207</v>
      </c>
      <c r="V29" s="68" t="s">
        <v>55</v>
      </c>
    </row>
    <row r="30" spans="1:24" x14ac:dyDescent="0.25">
      <c r="A30" t="s">
        <v>208</v>
      </c>
      <c r="B30" s="68" t="s">
        <v>56</v>
      </c>
      <c r="C30" s="61">
        <v>0.04</v>
      </c>
      <c r="D30" s="67">
        <v>1.23</v>
      </c>
      <c r="E30">
        <f>D30/30</f>
        <v>4.1000000000000002E-2</v>
      </c>
      <c r="F30" s="67">
        <v>1.4424999999999999</v>
      </c>
      <c r="G30">
        <f>F30/40</f>
        <v>3.6062499999999997E-2</v>
      </c>
      <c r="H30" s="67">
        <v>1.5925</v>
      </c>
      <c r="I30" s="70"/>
      <c r="J30" t="s">
        <v>208</v>
      </c>
      <c r="K30" s="68" t="s">
        <v>56</v>
      </c>
      <c r="T30" s="70"/>
      <c r="U30" t="s">
        <v>208</v>
      </c>
      <c r="V30" s="68" t="s">
        <v>56</v>
      </c>
    </row>
    <row r="31" spans="1:24" x14ac:dyDescent="0.25">
      <c r="A31" t="s">
        <v>209</v>
      </c>
      <c r="B31" s="68" t="s">
        <v>210</v>
      </c>
      <c r="C31" s="68">
        <v>0.04</v>
      </c>
      <c r="D31" s="67">
        <v>0</v>
      </c>
      <c r="I31" s="70"/>
      <c r="J31" t="s">
        <v>209</v>
      </c>
      <c r="K31" s="68" t="s">
        <v>210</v>
      </c>
      <c r="L31">
        <f>D4/50</f>
        <v>4.965E-2</v>
      </c>
      <c r="M31" s="67">
        <v>0.1575</v>
      </c>
      <c r="T31" s="70"/>
      <c r="U31" t="s">
        <v>209</v>
      </c>
      <c r="V31" s="68" t="s">
        <v>210</v>
      </c>
      <c r="W31">
        <f>F4/60</f>
        <v>3.9833333333333325E-2</v>
      </c>
      <c r="X31" s="67">
        <v>0.2525</v>
      </c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4"/>
  <sheetViews>
    <sheetView workbookViewId="0">
      <selection activeCell="O19" sqref="O19"/>
    </sheetView>
  </sheetViews>
  <sheetFormatPr defaultRowHeight="15" x14ac:dyDescent="0.25"/>
  <sheetData>
    <row r="1" spans="1:9" ht="18.75" x14ac:dyDescent="0.3">
      <c r="A1" s="73" t="s">
        <v>260</v>
      </c>
    </row>
    <row r="2" spans="1:9" x14ac:dyDescent="0.25">
      <c r="A2" s="17" t="s">
        <v>261</v>
      </c>
    </row>
    <row r="3" spans="1:9" x14ac:dyDescent="0.25">
      <c r="A3" s="17"/>
    </row>
    <row r="4" spans="1:9" x14ac:dyDescent="0.25">
      <c r="A4" t="s">
        <v>251</v>
      </c>
    </row>
    <row r="5" spans="1:9" x14ac:dyDescent="0.25">
      <c r="C5" s="79" t="s">
        <v>262</v>
      </c>
      <c r="D5" s="79"/>
      <c r="E5" s="79"/>
      <c r="F5" s="79"/>
      <c r="G5" s="79"/>
      <c r="H5" s="79"/>
    </row>
    <row r="6" spans="1:9" ht="15.75" thickBot="1" x14ac:dyDescent="0.3">
      <c r="B6" s="77" t="s">
        <v>179</v>
      </c>
      <c r="C6" s="78">
        <v>0</v>
      </c>
      <c r="D6" s="77">
        <v>24</v>
      </c>
      <c r="E6" s="78">
        <v>24.01</v>
      </c>
      <c r="F6" s="77">
        <v>48</v>
      </c>
      <c r="G6" s="78">
        <v>48.01</v>
      </c>
      <c r="H6" s="77">
        <v>72</v>
      </c>
    </row>
    <row r="7" spans="1:9" x14ac:dyDescent="0.25">
      <c r="A7" t="s">
        <v>183</v>
      </c>
      <c r="B7" s="75" t="s">
        <v>32</v>
      </c>
      <c r="C7" s="72">
        <v>0.05</v>
      </c>
      <c r="D7" s="76">
        <f>(0.006+0.007)/2*5</f>
        <v>3.2500000000000001E-2</v>
      </c>
      <c r="E7" s="74">
        <f>D7/11</f>
        <v>2.9545454545454545E-3</v>
      </c>
      <c r="F7" s="76">
        <f>0.008*5</f>
        <v>0.04</v>
      </c>
      <c r="G7" s="67">
        <f>F7/11</f>
        <v>3.6363636363636364E-3</v>
      </c>
      <c r="H7" s="76">
        <f>(0.017+0.018)/2*5</f>
        <v>8.7500000000000008E-2</v>
      </c>
      <c r="I7" t="s">
        <v>259</v>
      </c>
    </row>
    <row r="8" spans="1:9" x14ac:dyDescent="0.25">
      <c r="A8" t="s">
        <v>184</v>
      </c>
      <c r="B8" s="75" t="s">
        <v>33</v>
      </c>
      <c r="C8" s="72">
        <v>0.05</v>
      </c>
      <c r="D8" s="76">
        <f>(0.474+0.469)/2*5</f>
        <v>2.3574999999999999</v>
      </c>
      <c r="E8" s="74">
        <f>D8/100</f>
        <v>2.3574999999999999E-2</v>
      </c>
      <c r="F8" s="76">
        <f>0.483*5</f>
        <v>2.415</v>
      </c>
      <c r="G8" s="67">
        <f>F8/100</f>
        <v>2.4150000000000001E-2</v>
      </c>
      <c r="H8" s="76">
        <f>(0.457+0.453)/2*5</f>
        <v>2.2749999999999999</v>
      </c>
    </row>
    <row r="9" spans="1:9" x14ac:dyDescent="0.25">
      <c r="A9" t="s">
        <v>189</v>
      </c>
      <c r="B9" s="75" t="s">
        <v>38</v>
      </c>
      <c r="C9" s="72">
        <v>0.05</v>
      </c>
      <c r="D9" s="76">
        <f>(0.465+0.465)/2*5</f>
        <v>2.3250000000000002</v>
      </c>
      <c r="E9" s="74">
        <f>D9/100</f>
        <v>2.3250000000000003E-2</v>
      </c>
      <c r="F9" s="76">
        <f>0.473*5</f>
        <v>2.3649999999999998</v>
      </c>
      <c r="G9" s="67">
        <f>F9/100</f>
        <v>2.3649999999999997E-2</v>
      </c>
      <c r="H9" s="76">
        <f>(0.482+0.473)/2*5</f>
        <v>2.3874999999999997</v>
      </c>
    </row>
    <row r="10" spans="1:9" x14ac:dyDescent="0.25">
      <c r="A10" t="s">
        <v>190</v>
      </c>
      <c r="B10" s="75" t="s">
        <v>39</v>
      </c>
      <c r="C10" s="72">
        <v>0.05</v>
      </c>
      <c r="D10" s="76">
        <f>(0.068+0.07)/2*5</f>
        <v>0.34500000000000003</v>
      </c>
      <c r="E10" s="74">
        <f>D10/11</f>
        <v>3.1363636363636364E-2</v>
      </c>
      <c r="F10" s="76">
        <f>0.073*5</f>
        <v>0.36499999999999999</v>
      </c>
      <c r="G10" s="67">
        <f>F10/11</f>
        <v>3.318181818181818E-2</v>
      </c>
      <c r="H10" s="76">
        <f>(0.119+0.12)/2*5</f>
        <v>0.59749999999999992</v>
      </c>
    </row>
    <row r="11" spans="1:9" x14ac:dyDescent="0.25">
      <c r="A11" t="s">
        <v>191</v>
      </c>
      <c r="B11" s="75" t="s">
        <v>40</v>
      </c>
      <c r="C11" s="72">
        <v>0.05</v>
      </c>
      <c r="D11" s="76">
        <f>(0.031+0.031)/2*5</f>
        <v>0.155</v>
      </c>
      <c r="E11" s="74">
        <f>D11/11</f>
        <v>1.4090909090909091E-2</v>
      </c>
      <c r="F11" s="76">
        <f>0.014*5</f>
        <v>7.0000000000000007E-2</v>
      </c>
      <c r="G11" s="67">
        <f>F11/11</f>
        <v>6.3636363636363638E-3</v>
      </c>
      <c r="H11" s="76">
        <f>(0.013+0.012)/2*5</f>
        <v>6.25E-2</v>
      </c>
      <c r="I11" t="s">
        <v>259</v>
      </c>
    </row>
    <row r="12" spans="1:9" x14ac:dyDescent="0.25">
      <c r="A12" t="s">
        <v>193</v>
      </c>
      <c r="B12" s="75" t="s">
        <v>42</v>
      </c>
      <c r="C12" s="72">
        <v>0.05</v>
      </c>
      <c r="D12" s="76">
        <f>(0.028+0.03)/2*5</f>
        <v>0.14499999999999999</v>
      </c>
      <c r="E12" s="74">
        <f>D12/11</f>
        <v>1.3181818181818182E-2</v>
      </c>
      <c r="F12" s="76">
        <f>0.017*5</f>
        <v>8.5000000000000006E-2</v>
      </c>
      <c r="G12" s="67">
        <f>F12/11</f>
        <v>7.7272727272727276E-3</v>
      </c>
      <c r="H12" s="76">
        <f>(0.027+0.025)/2*5</f>
        <v>0.13</v>
      </c>
      <c r="I12" t="s">
        <v>259</v>
      </c>
    </row>
    <row r="13" spans="1:9" x14ac:dyDescent="0.25">
      <c r="A13" t="s">
        <v>206</v>
      </c>
      <c r="B13" s="75" t="s">
        <v>54</v>
      </c>
      <c r="C13" s="72">
        <v>0.05</v>
      </c>
      <c r="D13" s="76">
        <f>(0.092+0.095)/2*5</f>
        <v>0.46750000000000003</v>
      </c>
      <c r="E13" s="74">
        <f>D13/21</f>
        <v>2.2261904761904764E-2</v>
      </c>
      <c r="F13" s="76">
        <f>0.093*5</f>
        <v>0.46499999999999997</v>
      </c>
      <c r="G13" s="67">
        <f>F13/21</f>
        <v>2.2142857142857141E-2</v>
      </c>
      <c r="H13" s="76">
        <f>(0.157+0.171)/2*5</f>
        <v>0.82000000000000006</v>
      </c>
    </row>
    <row r="14" spans="1:9" x14ac:dyDescent="0.25">
      <c r="A14" t="s">
        <v>207</v>
      </c>
      <c r="B14" s="75" t="s">
        <v>55</v>
      </c>
      <c r="C14" s="72">
        <v>0.05</v>
      </c>
      <c r="D14" s="76">
        <f>(0.472+0.473)/2*5</f>
        <v>2.3624999999999998</v>
      </c>
      <c r="E14" s="74">
        <f>D14/100</f>
        <v>2.3624999999999997E-2</v>
      </c>
      <c r="F14" s="76">
        <f>0.461*5</f>
        <v>2.3050000000000002</v>
      </c>
      <c r="G14" s="67">
        <f>F14/100</f>
        <v>2.3050000000000001E-2</v>
      </c>
      <c r="H14" s="76">
        <f>(0.463+0.465)/2*5</f>
        <v>2.3200000000000003</v>
      </c>
    </row>
    <row r="15" spans="1:9" x14ac:dyDescent="0.25">
      <c r="F15" s="67"/>
      <c r="H15" s="67"/>
    </row>
    <row r="16" spans="1:9" x14ac:dyDescent="0.25">
      <c r="F16" s="67"/>
      <c r="H16" s="67"/>
    </row>
    <row r="18" spans="6:8" x14ac:dyDescent="0.25">
      <c r="F18" s="67"/>
      <c r="H18" s="67"/>
    </row>
    <row r="20" spans="6:8" x14ac:dyDescent="0.25">
      <c r="F20" s="67"/>
      <c r="H20" s="67"/>
    </row>
    <row r="23" spans="6:8" x14ac:dyDescent="0.25">
      <c r="F23" s="67"/>
      <c r="H23" s="67"/>
    </row>
    <row r="24" spans="6:8" x14ac:dyDescent="0.25">
      <c r="F24" s="67"/>
      <c r="H24" s="67"/>
    </row>
  </sheetData>
  <mergeCells count="1">
    <mergeCell ref="C5:H5"/>
  </mergeCells>
  <pageMargins left="0.7" right="0.7" top="0.75" bottom="0.75" header="0.3" footer="0.3"/>
  <pageSetup paperSize="9"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medium setup</vt:lpstr>
      <vt:lpstr>other media components</vt:lpstr>
      <vt:lpstr>faecalis inoculation 1</vt:lpstr>
      <vt:lpstr>faecalis inoculation 2</vt:lpstr>
      <vt:lpstr>faecalis inoculation 3</vt:lpstr>
      <vt:lpstr>faecalis inoculation 4</vt:lpstr>
      <vt:lpstr>faecalis inoculation 5</vt:lpstr>
      <vt:lpstr>validation with media filipe</vt:lpstr>
      <vt:lpstr>summary</vt:lpstr>
      <vt:lpstr>continuous passaging</vt:lpstr>
      <vt:lpstr>validation GLY_SER</vt:lpstr>
    </vt:vector>
  </TitlesOfParts>
  <Company>Universiteit van Amsterdam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Grinsven, Koen </dc:creator>
  <cp:lastModifiedBy>van Grinsven, Koen </cp:lastModifiedBy>
  <cp:lastPrinted>2012-06-12T12:58:23Z</cp:lastPrinted>
  <dcterms:created xsi:type="dcterms:W3CDTF">2012-05-31T14:19:42Z</dcterms:created>
  <dcterms:modified xsi:type="dcterms:W3CDTF">2012-12-13T15:35:47Z</dcterms:modified>
</cp:coreProperties>
</file>